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Bisa\Downloads\"/>
    </mc:Choice>
  </mc:AlternateContent>
  <xr:revisionPtr revIDLastSave="0" documentId="8_{1571ED1E-0D1A-4360-B5A5-78655B4CAC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enemum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7" i="1" l="1"/>
  <c r="K306" i="1"/>
  <c r="K305" i="1"/>
  <c r="K304" i="1"/>
  <c r="K303" i="1"/>
  <c r="K302" i="1"/>
  <c r="K301" i="1"/>
  <c r="K300" i="1"/>
  <c r="K299" i="1"/>
  <c r="K298" i="1"/>
  <c r="K297" i="1"/>
  <c r="K296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H306" i="1"/>
  <c r="H305" i="1"/>
  <c r="H304" i="1"/>
  <c r="H303" i="1"/>
  <c r="H302" i="1"/>
  <c r="H301" i="1"/>
  <c r="H300" i="1"/>
  <c r="H299" i="1"/>
  <c r="H298" i="1"/>
  <c r="H297" i="1"/>
  <c r="H296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E306" i="1"/>
  <c r="E305" i="1"/>
  <c r="E304" i="1"/>
  <c r="E303" i="1"/>
  <c r="E302" i="1"/>
  <c r="E301" i="1"/>
  <c r="E300" i="1"/>
  <c r="E299" i="1"/>
  <c r="E298" i="1"/>
  <c r="E297" i="1"/>
  <c r="E296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B306" i="1"/>
  <c r="B305" i="1"/>
  <c r="B304" i="1"/>
  <c r="B303" i="1"/>
  <c r="B302" i="1"/>
  <c r="B301" i="1"/>
  <c r="B300" i="1"/>
  <c r="B299" i="1"/>
  <c r="B298" i="1"/>
  <c r="B297" i="1"/>
  <c r="B296" i="1"/>
  <c r="K74" i="1"/>
  <c r="I74" i="1"/>
  <c r="H74" i="1"/>
  <c r="G74" i="1"/>
  <c r="E74" i="1"/>
  <c r="D74" i="1"/>
  <c r="C74" i="1"/>
  <c r="B74" i="1"/>
  <c r="K73" i="1"/>
  <c r="I73" i="1"/>
  <c r="H73" i="1"/>
  <c r="G73" i="1"/>
  <c r="E73" i="1"/>
  <c r="D73" i="1"/>
  <c r="C73" i="1"/>
  <c r="B73" i="1"/>
  <c r="K72" i="1"/>
  <c r="I72" i="1"/>
  <c r="H72" i="1"/>
  <c r="G72" i="1"/>
  <c r="E72" i="1"/>
  <c r="D72" i="1"/>
  <c r="C72" i="1"/>
  <c r="B72" i="1"/>
  <c r="K71" i="1"/>
  <c r="I71" i="1"/>
  <c r="H71" i="1"/>
  <c r="G71" i="1"/>
  <c r="E71" i="1"/>
  <c r="D71" i="1"/>
  <c r="C71" i="1"/>
  <c r="B71" i="1"/>
  <c r="K70" i="1"/>
  <c r="I70" i="1"/>
  <c r="H70" i="1"/>
  <c r="G70" i="1"/>
  <c r="E70" i="1"/>
  <c r="D70" i="1"/>
  <c r="C70" i="1"/>
  <c r="B70" i="1"/>
  <c r="K69" i="1"/>
  <c r="I69" i="1"/>
  <c r="H69" i="1"/>
  <c r="G69" i="1"/>
  <c r="E69" i="1"/>
  <c r="D69" i="1"/>
  <c r="C69" i="1"/>
  <c r="B69" i="1"/>
  <c r="K68" i="1"/>
  <c r="I68" i="1"/>
  <c r="H68" i="1"/>
  <c r="G68" i="1"/>
  <c r="E68" i="1"/>
  <c r="D68" i="1"/>
  <c r="C68" i="1"/>
  <c r="B68" i="1"/>
  <c r="K67" i="1"/>
  <c r="I67" i="1"/>
  <c r="H67" i="1"/>
  <c r="G67" i="1"/>
  <c r="E67" i="1"/>
  <c r="D67" i="1"/>
  <c r="C67" i="1"/>
  <c r="B67" i="1"/>
  <c r="D45" i="1"/>
  <c r="D44" i="1"/>
  <c r="D43" i="1"/>
  <c r="D42" i="1"/>
  <c r="D41" i="1"/>
  <c r="D40" i="1"/>
  <c r="C45" i="1"/>
  <c r="C44" i="1"/>
  <c r="C43" i="1"/>
  <c r="C42" i="1"/>
  <c r="C41" i="1"/>
  <c r="C40" i="1"/>
  <c r="C39" i="1"/>
  <c r="C38" i="1"/>
  <c r="C37" i="1"/>
  <c r="C36" i="1"/>
  <c r="B45" i="1"/>
  <c r="B44" i="1"/>
  <c r="B43" i="1"/>
  <c r="B42" i="1"/>
  <c r="B41" i="1"/>
  <c r="B40" i="1"/>
  <c r="B39" i="1"/>
  <c r="B38" i="1"/>
  <c r="B37" i="1"/>
  <c r="B36" i="1"/>
  <c r="E18" i="1"/>
  <c r="E17" i="1"/>
  <c r="E16" i="1"/>
  <c r="E15" i="1"/>
  <c r="E14" i="1"/>
  <c r="E13" i="1"/>
  <c r="E12" i="1"/>
  <c r="E11" i="1"/>
  <c r="E10" i="1"/>
  <c r="E9" i="1"/>
  <c r="E8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D3" i="1"/>
  <c r="C3" i="1"/>
</calcChain>
</file>

<file path=xl/sharedStrings.xml><?xml version="1.0" encoding="utf-8"?>
<sst xmlns="http://schemas.openxmlformats.org/spreadsheetml/2006/main" count="60" uniqueCount="42">
  <si>
    <t>Latvija</t>
  </si>
  <si>
    <t>Rīga</t>
  </si>
  <si>
    <t>Daugavpils</t>
  </si>
  <si>
    <t>Jelgava</t>
  </si>
  <si>
    <t>Jūrmala</t>
  </si>
  <si>
    <t>Liepāja</t>
  </si>
  <si>
    <t>Rēzekne</t>
  </si>
  <si>
    <t>Ventspils</t>
  </si>
  <si>
    <t>2001</t>
  </si>
  <si>
    <t>2002</t>
  </si>
  <si>
    <t>2003</t>
  </si>
  <si>
    <t xml:space="preserve">2004 </t>
  </si>
  <si>
    <t>PAKALPOJUMU NOZARES KOPĀ: tai skaitā:</t>
  </si>
  <si>
    <t>Izglītība</t>
  </si>
  <si>
    <t>Veselība un sociālā aprūpe</t>
  </si>
  <si>
    <t>PREČU RAŽOŠANAS NOZARES KOPĀ: tai skaitā:</t>
  </si>
  <si>
    <t>Energoapgāde</t>
  </si>
  <si>
    <t>Būvniecība</t>
  </si>
  <si>
    <t xml:space="preserve"> </t>
  </si>
  <si>
    <t>2005</t>
  </si>
  <si>
    <t>patēriņa cenas, %</t>
  </si>
  <si>
    <t>Liepājā strādājošo mēneša vidējā bruto darba samaksa, %</t>
  </si>
  <si>
    <t>Izmitināšanas un ēdināšanas pak.</t>
  </si>
  <si>
    <t xml:space="preserve">Transports, glabāšana </t>
  </si>
  <si>
    <t xml:space="preserve">Operācijas ar nekustamo īpašumu, </t>
  </si>
  <si>
    <t>Pārējie pakalpojumi</t>
  </si>
  <si>
    <t>Ūdens apgāde</t>
  </si>
  <si>
    <t>Jēkabpils</t>
  </si>
  <si>
    <t>Valmiera</t>
  </si>
  <si>
    <t xml:space="preserve">Rēzekne </t>
  </si>
  <si>
    <t xml:space="preserve">Valmiera </t>
  </si>
  <si>
    <t>Tirdzniecība,auto, moto remonts</t>
  </si>
  <si>
    <t>Valsts pārvalde un aizsardzība</t>
  </si>
  <si>
    <t>Zvejniecība, mežsaimniecība</t>
  </si>
  <si>
    <t>Rūpniecība</t>
  </si>
  <si>
    <t>Latvija, vidējā apdrošināšanas iemaksu alga ,EUR/mēn.</t>
  </si>
  <si>
    <t>Liepāja, vidējā apdrošināšanas iemaksu alga, EUR/mēn.</t>
  </si>
  <si>
    <t>Liepāja, vidējā izmaksātā vecuma pensija, EUR/mēn.</t>
  </si>
  <si>
    <t>Vidējā apdrošināšanas iemaksu alga</t>
  </si>
  <si>
    <t>Vidējā bruto darba samaksa sabiedriskajā sektorā,</t>
  </si>
  <si>
    <t>Vidējā bruto darba samaksa privātajā sektorā (ar nodarbināto skaitu virs 50)</t>
  </si>
  <si>
    <t>2021,%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</si>
</sst>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 ;[Red]\-#,##0.0\ "/>
    <numFmt numFmtId="165" formatCode="#,##0_ ;[Red]\-#,##0\ "/>
    <numFmt numFmtId="166" formatCode="0.0"/>
  </numFmts>
  <fonts count="6" x14ac:knownFonts="1">
    <font>
      <sz val="10"/>
      <name val="Times New Roman"/>
      <charset val="186"/>
    </font>
    <font>
      <sz val="8"/>
      <name val="Times New Roman"/>
      <family val="1"/>
      <charset val="186"/>
    </font>
    <font>
      <sz val="10"/>
      <name val="Times New Roman"/>
      <family val="1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19"/>
      </left>
      <right style="hair">
        <color indexed="19"/>
      </right>
      <top/>
      <bottom style="hair">
        <color indexed="19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65" fontId="0" fillId="2" borderId="0" xfId="0" applyNumberFormat="1" applyFill="1"/>
    <xf numFmtId="1" fontId="0" fillId="2" borderId="0" xfId="0" applyNumberFormat="1" applyFill="1"/>
    <xf numFmtId="166" fontId="0" fillId="2" borderId="0" xfId="0" applyNumberFormat="1" applyFill="1"/>
    <xf numFmtId="0" fontId="2" fillId="2" borderId="0" xfId="0" applyFont="1" applyFill="1" applyAlignment="1">
      <alignment horizontal="center" wrapText="1"/>
    </xf>
    <xf numFmtId="165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65" fontId="4" fillId="2" borderId="0" xfId="0" applyNumberFormat="1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/>
    <xf numFmtId="165" fontId="2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/>
    <xf numFmtId="0" fontId="4" fillId="2" borderId="1" xfId="0" applyFont="1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 applyAlignment="1">
      <alignment horizontal="left"/>
    </xf>
    <xf numFmtId="0" fontId="0" fillId="2" borderId="4" xfId="0" applyFill="1" applyBorder="1"/>
    <xf numFmtId="0" fontId="0" fillId="2" borderId="5" xfId="0" applyFill="1" applyBorder="1"/>
    <xf numFmtId="165" fontId="2" fillId="2" borderId="1" xfId="0" applyNumberFormat="1" applyFont="1" applyFill="1" applyBorder="1" applyAlignment="1">
      <alignment horizontal="right"/>
    </xf>
    <xf numFmtId="3" fontId="4" fillId="4" borderId="0" xfId="0" applyNumberFormat="1" applyFont="1" applyFill="1" applyAlignment="1">
      <alignment vertical="center"/>
    </xf>
    <xf numFmtId="0" fontId="0" fillId="4" borderId="0" xfId="0" applyFill="1"/>
    <xf numFmtId="1" fontId="0" fillId="4" borderId="0" xfId="0" applyNumberFormat="1" applyFill="1"/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0" fontId="4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/>
    </xf>
    <xf numFmtId="165" fontId="5" fillId="4" borderId="0" xfId="0" applyNumberFormat="1" applyFont="1" applyFill="1"/>
    <xf numFmtId="165" fontId="5" fillId="4" borderId="6" xfId="0" applyNumberFormat="1" applyFon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48FCC9"/>
      <rgbColor rgb="00FF9966"/>
      <rgbColor rgb="00993366"/>
      <rgbColor rgb="00FF0F70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ienemumi!#REF!</c:v>
          </c:tx>
          <c:spPr>
            <a:ln w="25400">
              <a:solidFill>
                <a:srgbClr val="33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9D9-40B1-B1C4-8B1BB59C03A2}"/>
            </c:ext>
          </c:extLst>
        </c:ser>
        <c:ser>
          <c:idx val="0"/>
          <c:order val="1"/>
          <c:tx>
            <c:v>ienemumi!#REF!</c:v>
          </c:tx>
          <c:spPr>
            <a:ln w="25400">
              <a:solidFill>
                <a:srgbClr val="996633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9D9-40B1-B1C4-8B1BB59C0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921296"/>
        <c:axId val="-36918032"/>
      </c:lineChart>
      <c:catAx>
        <c:axId val="-369212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918032"/>
        <c:crosses val="autoZero"/>
        <c:auto val="1"/>
        <c:lblAlgn val="ctr"/>
        <c:lblOffset val="100"/>
        <c:tickMarkSkip val="1"/>
        <c:noMultiLvlLbl val="0"/>
      </c:catAx>
      <c:valAx>
        <c:axId val="-36918032"/>
        <c:scaling>
          <c:orientation val="minMax"/>
          <c:min val="5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6921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pilsētas uzņēmumu pašražoto preču realizācija, milj.Ls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ienemumi!#REF!</c:v>
          </c:tx>
          <c:spPr>
            <a:gradFill rotWithShape="0">
              <a:gsLst>
                <a:gs pos="0">
                  <a:srgbClr val="CCFFCC"/>
                </a:gs>
                <a:gs pos="100000">
                  <a:srgbClr val="CCFFCC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AE6-4C5B-829E-C0F7095BC0C4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008080">
                    <a:gamma/>
                    <a:tint val="69804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AE6-4C5B-829E-C0F7095BC0C4}"/>
            </c:ext>
          </c:extLst>
        </c:ser>
        <c:ser>
          <c:idx val="0"/>
          <c:order val="2"/>
          <c:tx>
            <c:v>ienemumi!#REF!</c:v>
          </c:tx>
          <c:spPr>
            <a:gradFill rotWithShape="0">
              <a:gsLst>
                <a:gs pos="0">
                  <a:srgbClr val="339933"/>
                </a:gs>
                <a:gs pos="100000">
                  <a:srgbClr val="339933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AE6-4C5B-829E-C0F7095BC0C4}"/>
            </c:ext>
          </c:extLst>
        </c:ser>
        <c:ser>
          <c:idx val="3"/>
          <c:order val="3"/>
          <c:tx>
            <c:v>ienemumi!#REF!</c:v>
          </c:tx>
          <c:spPr>
            <a:gradFill rotWithShape="0">
              <a:gsLst>
                <a:gs pos="0">
                  <a:srgbClr val="808000"/>
                </a:gs>
                <a:gs pos="100000">
                  <a:srgbClr val="808000">
                    <a:gamma/>
                    <a:shade val="6352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AE6-4C5B-829E-C0F7095BC0C4}"/>
            </c:ext>
          </c:extLst>
        </c:ser>
        <c:ser>
          <c:idx val="4"/>
          <c:order val="4"/>
          <c:tx>
            <c:v>ienemumi!#REF!</c:v>
          </c:tx>
          <c:spPr>
            <a:gradFill rotWithShape="0">
              <a:gsLst>
                <a:gs pos="0">
                  <a:srgbClr val="999933"/>
                </a:gs>
                <a:gs pos="100000">
                  <a:srgbClr val="999933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AE6-4C5B-829E-C0F7095BC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250560"/>
        <c:axId val="-41251648"/>
      </c:barChart>
      <c:catAx>
        <c:axId val="-412505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1251648"/>
        <c:crosses val="autoZero"/>
        <c:auto val="1"/>
        <c:lblAlgn val="ctr"/>
        <c:lblOffset val="100"/>
        <c:tickMarkSkip val="1"/>
        <c:noMultiLvlLbl val="0"/>
      </c:catAx>
      <c:valAx>
        <c:axId val="-41251648"/>
        <c:scaling>
          <c:orientation val="minMax"/>
          <c:max val="148"/>
          <c:min val="-2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250560"/>
        <c:crosses val="autoZero"/>
        <c:crossBetween val="between"/>
        <c:majorUnit val="6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2004.gadā, %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339933"/>
                </a:gs>
                <a:gs pos="100000">
                  <a:srgbClr val="339933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F95-457D-AA42-F85A9A186677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A6CAF0"/>
                </a:gs>
                <a:gs pos="100000">
                  <a:srgbClr val="A6CAF0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F95-457D-AA42-F85A9A186677}"/>
            </c:ext>
          </c:extLst>
        </c:ser>
        <c:ser>
          <c:idx val="2"/>
          <c:order val="2"/>
          <c:tx>
            <c:v>ienemumi!#REF!</c:v>
          </c:tx>
          <c:spPr>
            <a:pattFill prst="wdUpDiag">
              <a:fgClr>
                <a:srgbClr val="FFFFFF"/>
              </a:fgClr>
              <a:bgClr>
                <a:srgbClr val="A6CAF0"/>
              </a:bgClr>
            </a:pattFill>
            <a:ln w="25400">
              <a:solidFill>
                <a:srgbClr val="A6CAF0"/>
              </a:solidFill>
              <a:prstDash val="solid"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F95-457D-AA42-F85A9A186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250016"/>
        <c:axId val="-41249472"/>
      </c:barChart>
      <c:catAx>
        <c:axId val="-4125001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1249472"/>
        <c:crosses val="autoZero"/>
        <c:auto val="1"/>
        <c:lblAlgn val="ctr"/>
        <c:lblOffset val="100"/>
        <c:tickMarkSkip val="1"/>
        <c:noMultiLvlLbl val="0"/>
      </c:catAx>
      <c:valAx>
        <c:axId val="-41249472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2500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realizācijas pārmaiņas 2004.gadā (% pret 2003.gadu)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999933"/>
                </a:gs>
                <a:gs pos="100000">
                  <a:srgbClr val="999933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161-4A97-98B3-5260AC2F2367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00FFFF"/>
                </a:gs>
                <a:gs pos="100000">
                  <a:srgbClr val="00FFFF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161-4A97-98B3-5260AC2F2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256000"/>
        <c:axId val="-348315584"/>
      </c:barChart>
      <c:catAx>
        <c:axId val="-412560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8315584"/>
        <c:crosses val="autoZero"/>
        <c:auto val="1"/>
        <c:lblAlgn val="ctr"/>
        <c:lblOffset val="100"/>
        <c:tickMarkSkip val="1"/>
        <c:noMultiLvlLbl val="0"/>
      </c:catAx>
      <c:valAx>
        <c:axId val="-348315584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256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pārmaiņas 2004.gada decembrī
(% pret 2003.gada decembri
          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6"/>
      <c:hPercent val="500"/>
      <c:rotY val="13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3399FF"/>
                </a:gs>
                <a:gs pos="8000">
                  <a:srgbClr val="00CCCC"/>
                </a:gs>
                <a:gs pos="23500">
                  <a:srgbClr val="9999FF"/>
                </a:gs>
                <a:gs pos="30000">
                  <a:srgbClr val="2E6792"/>
                </a:gs>
                <a:gs pos="35501">
                  <a:srgbClr val="3333CC"/>
                </a:gs>
                <a:gs pos="40500">
                  <a:srgbClr val="1170FF"/>
                </a:gs>
                <a:gs pos="50000">
                  <a:srgbClr val="006699"/>
                </a:gs>
                <a:gs pos="59500">
                  <a:srgbClr val="1170FF"/>
                </a:gs>
                <a:gs pos="64500">
                  <a:srgbClr val="3333CC"/>
                </a:gs>
                <a:gs pos="70000">
                  <a:srgbClr val="2E6792"/>
                </a:gs>
                <a:gs pos="76500">
                  <a:srgbClr val="9999FF"/>
                </a:gs>
                <a:gs pos="92000">
                  <a:srgbClr val="00CCCC"/>
                </a:gs>
                <a:gs pos="100000">
                  <a:srgbClr val="3399FF"/>
                </a:gs>
              </a:gsLst>
              <a:lin ang="5400000" scaled="1"/>
            </a:gra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8000">
                      <a:gamma/>
                      <a:tint val="66667"/>
                      <a:invGamma/>
                    </a:srgbClr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C5B-49AE-9AA6-CA2CDB197C84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C5B-49AE-9AA6-CA2CDB197C84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C5B-49AE-9AA6-CA2CDB197C84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C5B-49AE-9AA6-CA2CDB197C84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C5B-49AE-9AA6-CA2CDB197C84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C5B-49AE-9AA6-CA2CDB197C84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C5B-49AE-9AA6-CA2CDB197C84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C5B-49AE-9AA6-CA2CDB197C84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BC5B-49AE-9AA6-CA2CDB197C84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C5B-49AE-9AA6-CA2CDB197C84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C5B-49AE-9AA6-CA2CDB197C84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C5B-49AE-9AA6-CA2CDB197C84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BC5B-49AE-9AA6-CA2CDB197C84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C5B-49AE-9AA6-CA2CDB197C84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BC5B-49AE-9AA6-CA2CDB197C84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C5B-49AE-9AA6-CA2CDB197C84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BC5B-49AE-9AA6-CA2CDB197C84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C5B-49AE-9AA6-CA2CDB197C84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BC5B-49AE-9AA6-CA2CDB197C84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BC5B-49AE-9AA6-CA2CDB197C84}"/>
                </c:ext>
              </c:extLst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BC5B-49AE-9AA6-CA2CDB197C84}"/>
                </c:ext>
              </c:extLst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BC5B-49AE-9AA6-CA2CDB197C84}"/>
                </c:ext>
              </c:extLst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BC5B-49AE-9AA6-CA2CDB197C84}"/>
                </c:ext>
              </c:extLst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BC5B-49AE-9AA6-CA2CDB197C84}"/>
                </c:ext>
              </c:extLst>
            </c:dLbl>
            <c:dLbl>
              <c:idx val="2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BC5B-49AE-9AA6-CA2CDB197C84}"/>
                </c:ext>
              </c:extLst>
            </c:dLbl>
            <c:dLbl>
              <c:idx val="2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BC5B-49AE-9AA6-CA2CDB197C84}"/>
                </c:ext>
              </c:extLst>
            </c:dLbl>
            <c:dLbl>
              <c:idx val="2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BC5B-49AE-9AA6-CA2CDB197C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48FCC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B-BC5B-49AE-9AA6-CA2CDB197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48316128"/>
        <c:axId val="-348318304"/>
        <c:axId val="0"/>
      </c:bar3DChart>
      <c:catAx>
        <c:axId val="-348316128"/>
        <c:scaling>
          <c:orientation val="maxMin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424242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831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48318304"/>
        <c:scaling>
          <c:orientation val="minMax"/>
          <c:max val="5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83161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Latvijā 2004.gadā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5"/>
      <c:rotY val="2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gradFill rotWithShape="0">
              <a:gsLst>
                <a:gs pos="0">
                  <a:srgbClr val="A6CAF0"/>
                </a:gs>
                <a:gs pos="100000">
                  <a:srgbClr val="A6CAF0">
                    <a:gamma/>
                    <a:tint val="5764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explosion val="1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4A-42A9-AB0D-E2A673FD2B60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4A-42A9-AB0D-E2A673FD2B60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4A-42A9-AB0D-E2A673FD2B60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4A-42A9-AB0D-E2A673FD2B60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4A-42A9-AB0D-E2A673FD2B60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4A-42A9-AB0D-E2A673FD2B60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4A-42A9-AB0D-E2A673FD2B60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4A-42A9-AB0D-E2A673FD2B60}"/>
                </c:ext>
              </c:extLst>
            </c:dLbl>
            <c:dLbl>
              <c:idx val="7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4A-42A9-AB0D-E2A673FD2B60}"/>
                </c:ext>
              </c:extLst>
            </c:dLbl>
            <c:dLbl>
              <c:idx val="8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4A-42A9-AB0D-E2A673FD2B6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E34A-42A9-AB0D-E2A673FD2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Svarīgāko rūpniecības produkcijas veidu ražošanas pārmaiņas Liepājā 2004.gadā
(% pret 2003.gadu)          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"/>
      <c:hPercent val="500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33"/>
                </a:gs>
                <a:gs pos="100000">
                  <a:srgbClr val="999933">
                    <a:gamma/>
                    <a:shade val="84706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519-49CF-8F2A-0438E1BF2CD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519-49CF-8F2A-0438E1BF2CD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519-49CF-8F2A-0438E1BF2CD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519-49CF-8F2A-0438E1BF2CD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519-49CF-8F2A-0438E1BF2CD7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519-49CF-8F2A-0438E1BF2CD7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3519-49CF-8F2A-0438E1BF2CD7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519-49CF-8F2A-0438E1BF2CD7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519-49CF-8F2A-0438E1BF2CD7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519-49CF-8F2A-0438E1BF2CD7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3519-49CF-8F2A-0438E1BF2CD7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519-49CF-8F2A-0438E1BF2CD7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3519-49CF-8F2A-0438E1BF2CD7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3519-49CF-8F2A-0438E1BF2CD7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3519-49CF-8F2A-0438E1BF2CD7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3519-49CF-8F2A-0438E1BF2CD7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3519-49CF-8F2A-0438E1BF2CD7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3519-49CF-8F2A-0438E1BF2CD7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3519-49CF-8F2A-0438E1BF2CD7}"/>
                </c:ext>
              </c:extLst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3519-49CF-8F2A-0438E1BF2CD7}"/>
                </c:ext>
              </c:extLst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3519-49CF-8F2A-0438E1BF2CD7}"/>
                </c:ext>
              </c:extLst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3519-49CF-8F2A-0438E1BF2CD7}"/>
                </c:ext>
              </c:extLst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3519-49CF-8F2A-0438E1BF2CD7}"/>
                </c:ext>
              </c:extLst>
            </c:dLbl>
            <c:dLbl>
              <c:idx val="2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3519-49CF-8F2A-0438E1BF2CD7}"/>
                </c:ext>
              </c:extLst>
            </c:dLbl>
            <c:dLbl>
              <c:idx val="2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3519-49CF-8F2A-0438E1BF2CD7}"/>
                </c:ext>
              </c:extLst>
            </c:dLbl>
            <c:dLbl>
              <c:idx val="2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3519-49CF-8F2A-0438E1BF2CD7}"/>
                </c:ext>
              </c:extLst>
            </c:dLbl>
            <c:dLbl>
              <c:idx val="2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3519-49CF-8F2A-0438E1BF2CD7}"/>
                </c:ext>
              </c:extLst>
            </c:dLbl>
            <c:dLbl>
              <c:idx val="2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3519-49CF-8F2A-0438E1BF2CD7}"/>
                </c:ext>
              </c:extLst>
            </c:dLbl>
            <c:dLbl>
              <c:idx val="2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3519-49CF-8F2A-0438E1BF2CD7}"/>
                </c:ext>
              </c:extLst>
            </c:dLbl>
            <c:dLbl>
              <c:idx val="2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3519-49CF-8F2A-0438E1BF2CD7}"/>
                </c:ext>
              </c:extLst>
            </c:dLbl>
            <c:dLbl>
              <c:idx val="3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3519-49CF-8F2A-0438E1BF2CD7}"/>
                </c:ext>
              </c:extLst>
            </c:dLbl>
            <c:dLbl>
              <c:idx val="3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3519-49CF-8F2A-0438E1BF2CD7}"/>
                </c:ext>
              </c:extLst>
            </c:dLbl>
            <c:dLbl>
              <c:idx val="3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3519-49CF-8F2A-0438E1BF2CD7}"/>
                </c:ext>
              </c:extLst>
            </c:dLbl>
            <c:dLbl>
              <c:idx val="3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3519-49CF-8F2A-0438E1BF2CD7}"/>
                </c:ext>
              </c:extLst>
            </c:dLbl>
            <c:dLbl>
              <c:idx val="3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3519-49CF-8F2A-0438E1BF2CD7}"/>
                </c:ext>
              </c:extLst>
            </c:dLbl>
            <c:dLbl>
              <c:idx val="3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3519-49CF-8F2A-0438E1BF2CD7}"/>
                </c:ext>
              </c:extLst>
            </c:dLbl>
            <c:dLbl>
              <c:idx val="3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3519-49CF-8F2A-0438E1BF2CD7}"/>
                </c:ext>
              </c:extLst>
            </c:dLbl>
            <c:dLbl>
              <c:idx val="3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3519-49CF-8F2A-0438E1BF2CD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48FCC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6-3519-49CF-8F2A-0438E1BF2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48318848"/>
        <c:axId val="-348314496"/>
        <c:axId val="0"/>
      </c:bar3DChart>
      <c:catAx>
        <c:axId val="-348318848"/>
        <c:scaling>
          <c:orientation val="maxMin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424242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831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48314496"/>
        <c:scaling>
          <c:orientation val="minMax"/>
          <c:max val="260"/>
          <c:min val="-90"/>
        </c:scaling>
        <c:delete val="0"/>
        <c:axPos val="b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8318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Latvijā,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BEF-4F0C-8C36-E6D7896E95E7}"/>
            </c:ext>
          </c:extLst>
        </c:ser>
        <c:ser>
          <c:idx val="2"/>
          <c:order val="1"/>
          <c:tx>
            <c:v>ienemumi!#REF!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BEF-4F0C-8C36-E6D7896E95E7}"/>
            </c:ext>
          </c:extLst>
        </c:ser>
        <c:ser>
          <c:idx val="3"/>
          <c:order val="2"/>
          <c:tx>
            <c:v>ienemumi!#REF!</c:v>
          </c:tx>
          <c:spPr>
            <a:ln w="12700">
              <a:solidFill>
                <a:srgbClr val="9966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BEF-4F0C-8C36-E6D7896E95E7}"/>
            </c:ext>
          </c:extLst>
        </c:ser>
        <c:ser>
          <c:idx val="4"/>
          <c:order val="3"/>
          <c:tx>
            <c:v>ienemumi!#REF!</c:v>
          </c:tx>
          <c:spPr>
            <a:ln w="12700">
              <a:solidFill>
                <a:srgbClr val="3366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BEF-4F0C-8C36-E6D7896E95E7}"/>
            </c:ext>
          </c:extLst>
        </c:ser>
        <c:ser>
          <c:idx val="5"/>
          <c:order val="4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BEF-4F0C-8C36-E6D7896E95E7}"/>
            </c:ext>
          </c:extLst>
        </c:ser>
        <c:ser>
          <c:idx val="6"/>
          <c:order val="5"/>
          <c:tx>
            <c:v>ienemumi!#REF!</c:v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CC9CCC"/>
              </a:solidFill>
              <a:ln>
                <a:solidFill>
                  <a:srgbClr val="CC9CCC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5BEF-4F0C-8C36-E6D7896E95E7}"/>
            </c:ext>
          </c:extLst>
        </c:ser>
        <c:ser>
          <c:idx val="7"/>
          <c:order val="6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BEF-4F0C-8C36-E6D7896E95E7}"/>
            </c:ext>
          </c:extLst>
        </c:ser>
        <c:ser>
          <c:idx val="0"/>
          <c:order val="7"/>
          <c:tx>
            <c:v>ienemumi!#REF!</c:v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5BEF-4F0C-8C36-E6D7896E9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48317760"/>
        <c:axId val="-348317216"/>
      </c:lineChart>
      <c:catAx>
        <c:axId val="-3483177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483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48317216"/>
        <c:scaling>
          <c:orientation val="minMax"/>
          <c:max val="1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48317760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424242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254-4BEB-8CFA-6E29D3FAD7AD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254-4BEB-8CFA-6E29D3FAD7AD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54-4BEB-8CFA-6E29D3FAD7AD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9966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254-4BEB-8CFA-6E29D3FAD7AD}"/>
            </c:ext>
          </c:extLst>
        </c:ser>
        <c:ser>
          <c:idx val="4"/>
          <c:order val="4"/>
          <c:tx>
            <c:v>ienemumi!#REF!</c:v>
          </c:tx>
          <c:spPr>
            <a:ln w="12700">
              <a:solidFill>
                <a:srgbClr val="3366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254-4BEB-8CFA-6E29D3FAD7AD}"/>
            </c:ext>
          </c:extLst>
        </c:ser>
        <c:ser>
          <c:idx val="5"/>
          <c:order val="5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2254-4BEB-8CFA-6E29D3FAD7AD}"/>
            </c:ext>
          </c:extLst>
        </c:ser>
        <c:ser>
          <c:idx val="6"/>
          <c:order val="6"/>
          <c:tx>
            <c:v>ienemumi!#REF!</c:v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CC9CCC"/>
              </a:solidFill>
              <a:ln>
                <a:solidFill>
                  <a:srgbClr val="CC9CCC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2254-4BEB-8CFA-6E29D3FAD7AD}"/>
            </c:ext>
          </c:extLst>
        </c:ser>
        <c:ser>
          <c:idx val="7"/>
          <c:order val="7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2254-4BEB-8CFA-6E29D3FAD7AD}"/>
            </c:ext>
          </c:extLst>
        </c:ser>
        <c:ser>
          <c:idx val="8"/>
          <c:order val="8"/>
          <c:tx>
            <c:v>ienemumi!#REF!</c:v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2254-4BEB-8CFA-6E29D3FAD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48315040"/>
        <c:axId val="-348313408"/>
      </c:lineChart>
      <c:catAx>
        <c:axId val="-3483150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4831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48313408"/>
        <c:scaling>
          <c:orientation val="minMax"/>
          <c:max val="32000"/>
          <c:min val="4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48315040"/>
        <c:crosses val="autoZero"/>
        <c:crossBetween val="between"/>
        <c:maj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dinamika (% pret 1996.gadu)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424242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431-4D93-95D6-7C0AA8A88D24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431-4D93-95D6-7C0AA8A88D24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431-4D93-95D6-7C0AA8A88D24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9966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431-4D93-95D6-7C0AA8A88D24}"/>
            </c:ext>
          </c:extLst>
        </c:ser>
        <c:ser>
          <c:idx val="4"/>
          <c:order val="4"/>
          <c:tx>
            <c:v>ienemumi!#REF!</c:v>
          </c:tx>
          <c:spPr>
            <a:ln w="12700">
              <a:solidFill>
                <a:srgbClr val="3366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9431-4D93-95D6-7C0AA8A88D24}"/>
            </c:ext>
          </c:extLst>
        </c:ser>
        <c:ser>
          <c:idx val="5"/>
          <c:order val="5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9431-4D93-95D6-7C0AA8A88D24}"/>
            </c:ext>
          </c:extLst>
        </c:ser>
        <c:ser>
          <c:idx val="6"/>
          <c:order val="6"/>
          <c:tx>
            <c:v>ienemumi!#REF!</c:v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CC9CCC"/>
              </a:solidFill>
              <a:ln>
                <a:solidFill>
                  <a:srgbClr val="CC9CCC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9431-4D93-95D6-7C0AA8A88D24}"/>
            </c:ext>
          </c:extLst>
        </c:ser>
        <c:ser>
          <c:idx val="7"/>
          <c:order val="7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9431-4D93-95D6-7C0AA8A88D24}"/>
            </c:ext>
          </c:extLst>
        </c:ser>
        <c:ser>
          <c:idx val="8"/>
          <c:order val="8"/>
          <c:tx>
            <c:v>ienemumi!#REF!</c:v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9431-4D93-95D6-7C0AA8A88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48312320"/>
        <c:axId val="-348319392"/>
      </c:lineChart>
      <c:catAx>
        <c:axId val="-3483123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4831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48319392"/>
        <c:scaling>
          <c:orientation val="minMax"/>
          <c:max val="320"/>
          <c:min val="4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48312320"/>
        <c:crosses val="autoZero"/>
        <c:crossBetween val="between"/>
        <c:majorUnit val="4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424242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1B3-470A-917B-7CE70A3D1AA6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1B3-470A-917B-7CE70A3D1AA6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1B3-470A-917B-7CE70A3D1AA6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9966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1B3-470A-917B-7CE70A3D1AA6}"/>
            </c:ext>
          </c:extLst>
        </c:ser>
        <c:ser>
          <c:idx val="4"/>
          <c:order val="4"/>
          <c:tx>
            <c:v>ienemumi!#REF!</c:v>
          </c:tx>
          <c:spPr>
            <a:ln w="12700">
              <a:solidFill>
                <a:srgbClr val="3366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1B3-470A-917B-7CE70A3D1AA6}"/>
            </c:ext>
          </c:extLst>
        </c:ser>
        <c:ser>
          <c:idx val="5"/>
          <c:order val="5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1B3-470A-917B-7CE70A3D1AA6}"/>
            </c:ext>
          </c:extLst>
        </c:ser>
        <c:ser>
          <c:idx val="6"/>
          <c:order val="6"/>
          <c:tx>
            <c:v>ienemumi!#REF!</c:v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CC9CCC"/>
              </a:solidFill>
              <a:ln>
                <a:solidFill>
                  <a:srgbClr val="CC9CCC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1B3-470A-917B-7CE70A3D1AA6}"/>
            </c:ext>
          </c:extLst>
        </c:ser>
        <c:ser>
          <c:idx val="7"/>
          <c:order val="7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A1B3-470A-917B-7CE70A3D1AA6}"/>
            </c:ext>
          </c:extLst>
        </c:ser>
        <c:ser>
          <c:idx val="8"/>
          <c:order val="8"/>
          <c:tx>
            <c:v>ienemumi!#REF!</c:v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A1B3-470A-917B-7CE70A3D1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9351088"/>
        <c:axId val="-419351632"/>
      </c:lineChart>
      <c:catAx>
        <c:axId val="-4193510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1935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9351632"/>
        <c:scaling>
          <c:orientation val="minMax"/>
          <c:max val="32000"/>
          <c:min val="4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9351088"/>
        <c:crosses val="autoZero"/>
        <c:crossBetween val="between"/>
        <c:majorUnit val="200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2004.gadā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ienemumi!#REF!</c:v>
          </c:tx>
          <c:spPr>
            <a:gradFill rotWithShape="0">
              <a:gsLst>
                <a:gs pos="0">
                  <a:srgbClr val="993366">
                    <a:gamma/>
                    <a:tint val="48627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142-4246-AE24-71C0B09307AF}"/>
            </c:ext>
          </c:extLst>
        </c:ser>
        <c:ser>
          <c:idx val="0"/>
          <c:order val="1"/>
          <c:tx>
            <c:v>ienemumi!#REF!</c:v>
          </c:tx>
          <c:spPr>
            <a:gradFill rotWithShape="0">
              <a:gsLst>
                <a:gs pos="0">
                  <a:srgbClr val="999933"/>
                </a:gs>
                <a:gs pos="100000">
                  <a:srgbClr val="999933">
                    <a:gamma/>
                    <a:shade val="7568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142-4246-AE24-71C0B0930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924016"/>
        <c:axId val="-36919120"/>
      </c:barChart>
      <c:catAx>
        <c:axId val="-3692401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919120"/>
        <c:crosses val="autoZero"/>
        <c:auto val="1"/>
        <c:lblAlgn val="ctr"/>
        <c:lblOffset val="100"/>
        <c:tickMarkSkip val="1"/>
        <c:noMultiLvlLbl val="0"/>
      </c:catAx>
      <c:valAx>
        <c:axId val="-36919120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69240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vietējā tirgū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424242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574-464A-A92F-4331F33AC5FB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574-464A-A92F-4331F33AC5FB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574-464A-A92F-4331F33AC5FB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9966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574-464A-A92F-4331F33AC5FB}"/>
            </c:ext>
          </c:extLst>
        </c:ser>
        <c:ser>
          <c:idx val="4"/>
          <c:order val="4"/>
          <c:tx>
            <c:v>ienemumi!#REF!</c:v>
          </c:tx>
          <c:spPr>
            <a:ln w="12700">
              <a:solidFill>
                <a:srgbClr val="3366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9574-464A-A92F-4331F33AC5FB}"/>
            </c:ext>
          </c:extLst>
        </c:ser>
        <c:ser>
          <c:idx val="5"/>
          <c:order val="5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9574-464A-A92F-4331F33AC5FB}"/>
            </c:ext>
          </c:extLst>
        </c:ser>
        <c:ser>
          <c:idx val="6"/>
          <c:order val="6"/>
          <c:tx>
            <c:v>ienemumi!#REF!</c:v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CC9CCC"/>
              </a:solidFill>
              <a:ln>
                <a:solidFill>
                  <a:srgbClr val="CC9CCC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9574-464A-A92F-4331F33AC5FB}"/>
            </c:ext>
          </c:extLst>
        </c:ser>
        <c:ser>
          <c:idx val="7"/>
          <c:order val="7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9574-464A-A92F-4331F33AC5FB}"/>
            </c:ext>
          </c:extLst>
        </c:ser>
        <c:ser>
          <c:idx val="8"/>
          <c:order val="8"/>
          <c:tx>
            <c:v>ienemumi!#REF!</c:v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9574-464A-A92F-4331F33AC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9350544"/>
        <c:axId val="-419347280"/>
      </c:lineChart>
      <c:catAx>
        <c:axId val="-41935054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1934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9347280"/>
        <c:scaling>
          <c:orientation val="minMax"/>
          <c:max val="15800"/>
          <c:min val="12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9350544"/>
        <c:crosses val="autoZero"/>
        <c:crossBetween val="between"/>
        <c:majorUnit val="146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eksportam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424242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064-4E38-A7CC-1F1EA0F60DD3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064-4E38-A7CC-1F1EA0F60DD3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064-4E38-A7CC-1F1EA0F60DD3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9966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064-4E38-A7CC-1F1EA0F60DD3}"/>
            </c:ext>
          </c:extLst>
        </c:ser>
        <c:ser>
          <c:idx val="4"/>
          <c:order val="4"/>
          <c:tx>
            <c:v>ienemumi!#REF!</c:v>
          </c:tx>
          <c:spPr>
            <a:ln w="12700">
              <a:solidFill>
                <a:srgbClr val="3366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064-4E38-A7CC-1F1EA0F60DD3}"/>
            </c:ext>
          </c:extLst>
        </c:ser>
        <c:ser>
          <c:idx val="5"/>
          <c:order val="5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064-4E38-A7CC-1F1EA0F60DD3}"/>
            </c:ext>
          </c:extLst>
        </c:ser>
        <c:ser>
          <c:idx val="6"/>
          <c:order val="6"/>
          <c:tx>
            <c:v>ienemumi!#REF!</c:v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CC9CCC"/>
              </a:solidFill>
              <a:ln>
                <a:solidFill>
                  <a:srgbClr val="CC9CCC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064-4E38-A7CC-1F1EA0F60DD3}"/>
            </c:ext>
          </c:extLst>
        </c:ser>
        <c:ser>
          <c:idx val="7"/>
          <c:order val="7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A064-4E38-A7CC-1F1EA0F60DD3}"/>
            </c:ext>
          </c:extLst>
        </c:ser>
        <c:ser>
          <c:idx val="8"/>
          <c:order val="8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A064-4E38-A7CC-1F1EA0F60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9348368"/>
        <c:axId val="-419347824"/>
      </c:lineChart>
      <c:catAx>
        <c:axId val="-4193483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1934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9347824"/>
        <c:scaling>
          <c:orientation val="minMax"/>
          <c:max val="23000"/>
          <c:min val="15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9348368"/>
        <c:crosses val="autoZero"/>
        <c:crossBetween val="between"/>
        <c:majorUnit val="21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Kaitīgo vielu izplūde atmosfērā no stacionāriem avotiem (vidēji uz 1 hektāru pilsētas zemju; tonnās)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B24-4C2C-94D1-D241A7686C19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B24-4C2C-94D1-D241A7686C19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9966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B24-4C2C-94D1-D241A7686C19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3366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B24-4C2C-94D1-D241A7686C19}"/>
            </c:ext>
          </c:extLst>
        </c:ser>
        <c:ser>
          <c:idx val="4"/>
          <c:order val="4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B24-4C2C-94D1-D241A7686C19}"/>
            </c:ext>
          </c:extLst>
        </c:ser>
        <c:ser>
          <c:idx val="5"/>
          <c:order val="5"/>
          <c:tx>
            <c:v>ienemumi!#REF!</c:v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CC9CCC"/>
              </a:solidFill>
              <a:ln>
                <a:solidFill>
                  <a:srgbClr val="CC9CCC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2B24-4C2C-94D1-D241A7686C19}"/>
            </c:ext>
          </c:extLst>
        </c:ser>
        <c:ser>
          <c:idx val="6"/>
          <c:order val="6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2B24-4C2C-94D1-D241A7686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9346192"/>
        <c:axId val="-419345648"/>
      </c:lineChart>
      <c:catAx>
        <c:axId val="-4193461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1934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9345648"/>
        <c:scaling>
          <c:orientation val="minMax"/>
          <c:max val="1.6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9346192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Liepājā reģistrēto transportlīdzekļu skaits perioda beigās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solidFill>
              <a:srgbClr val="33666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5A6-42AB-8A0E-ADCBA127A165}"/>
            </c:ext>
          </c:extLst>
        </c:ser>
        <c:ser>
          <c:idx val="1"/>
          <c:order val="1"/>
          <c:tx>
            <c:v>ienemumi!#REF!</c:v>
          </c:tx>
          <c:spPr>
            <a:noFill/>
            <a:ln w="25400">
              <a:solidFill>
                <a:srgbClr val="008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5A6-42AB-8A0E-ADCBA127A165}"/>
            </c:ext>
          </c:extLst>
        </c:ser>
        <c:ser>
          <c:idx val="2"/>
          <c:order val="2"/>
          <c:tx>
            <c:v>ienemumi!#REF!</c:v>
          </c:tx>
          <c:spPr>
            <a:solidFill>
              <a:srgbClr val="996633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5A6-42AB-8A0E-ADCBA127A16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5A6-42AB-8A0E-ADCBA127A16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69.5%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5A6-42AB-8A0E-ADCBA127A16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5A6-42AB-8A0E-ADCBA127A16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5A6-42AB-8A0E-ADCBA127A16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5A6-42AB-8A0E-ADCBA127A16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75A6-42AB-8A0E-ADCBA127A16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75A6-42AB-8A0E-ADCBA127A16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75A6-42AB-8A0E-ADCBA127A1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75A6-42AB-8A0E-ADCBA127A165}"/>
            </c:ext>
          </c:extLst>
        </c:ser>
        <c:ser>
          <c:idx val="3"/>
          <c:order val="3"/>
          <c:tx>
            <c:v>ienemumi!#REF!</c:v>
          </c:tx>
          <c:spPr>
            <a:noFill/>
            <a:ln w="25400">
              <a:solidFill>
                <a:srgbClr val="996633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75A6-42AB-8A0E-ADCBA127A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9345104"/>
        <c:axId val="-345437584"/>
      </c:barChart>
      <c:catAx>
        <c:axId val="-4193451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5437584"/>
        <c:crosses val="autoZero"/>
        <c:auto val="1"/>
        <c:lblAlgn val="ctr"/>
        <c:lblOffset val="100"/>
        <c:tickMarkSkip val="1"/>
        <c:noMultiLvlLbl val="0"/>
      </c:catAx>
      <c:valAx>
        <c:axId val="-345437584"/>
        <c:scaling>
          <c:orientation val="minMax"/>
          <c:min val="-1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9345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Līdz 2005.gada 1.janvārim reģistrēto transportlīdzekļu skaits uz 1000 iedzīvotājiem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A6CAF0"/>
                </a:gs>
                <a:gs pos="100000">
                  <a:srgbClr val="A6CAF0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32E-47CB-AF82-948F8C51ACB3}"/>
            </c:ext>
          </c:extLst>
        </c:ser>
        <c:ser>
          <c:idx val="1"/>
          <c:order val="1"/>
          <c:tx>
            <c:v>ienemumi!#REF!</c:v>
          </c:tx>
          <c:spPr>
            <a:noFill/>
            <a:ln w="25400">
              <a:solidFill>
                <a:srgbClr val="A6CAF0"/>
              </a:solidFill>
              <a:prstDash val="solid"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32E-47CB-AF82-948F8C51ACB3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CC99FF">
                    <a:gamma/>
                    <a:tint val="39216"/>
                    <a:invGamma/>
                  </a:srgbClr>
                </a:gs>
                <a:gs pos="100000">
                  <a:srgbClr val="CC99FF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32E-47CB-AF82-948F8C51ACB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60.6%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32E-47CB-AF82-948F8C51ACB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32E-47CB-AF82-948F8C51ACB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32E-47CB-AF82-948F8C51ACB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79.4%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32E-47CB-AF82-948F8C51ACB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32E-47CB-AF82-948F8C51ACB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67.1%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32E-47CB-AF82-948F8C51ACB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D32E-47CB-AF82-948F8C51ACB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D32E-47CB-AF82-948F8C51ACB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D32E-47CB-AF82-948F8C51ACB3}"/>
            </c:ext>
          </c:extLst>
        </c:ser>
        <c:ser>
          <c:idx val="3"/>
          <c:order val="3"/>
          <c:tx>
            <c:v>ienemumi!#REF!</c:v>
          </c:tx>
          <c:spPr>
            <a:noFill/>
            <a:ln w="25400">
              <a:solidFill>
                <a:srgbClr val="CC99FF"/>
              </a:solidFill>
              <a:prstDash val="solid"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D32E-47CB-AF82-948F8C51A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5434320"/>
        <c:axId val="-345432688"/>
      </c:barChart>
      <c:catAx>
        <c:axId val="-3454343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5432688"/>
        <c:crosses val="autoZero"/>
        <c:auto val="1"/>
        <c:lblAlgn val="ctr"/>
        <c:lblOffset val="100"/>
        <c:tickMarkSkip val="1"/>
        <c:noMultiLvlLbl val="0"/>
      </c:catAx>
      <c:valAx>
        <c:axId val="-345432688"/>
        <c:scaling>
          <c:orientation val="minMax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45434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pārvadājumi ar jūras transportu un pa dzelzceļu (milj.t), Liepāja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FF0F70">
                    <a:gamma/>
                    <a:tint val="51373"/>
                    <a:invGamma/>
                  </a:srgbClr>
                </a:gs>
                <a:gs pos="100000">
                  <a:srgbClr val="FF0F70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F8-4697-976C-1B7BE75CA5F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F8-4697-976C-1B7BE75CA5F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F8-4697-976C-1B7BE75CA5F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8-4697-976C-1B7BE75CA5F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F8-4697-976C-1B7BE75CA5F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F8-4697-976C-1B7BE75CA5F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F8-4697-976C-1B7BE75CA5F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F8-4697-976C-1B7BE75CA5F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F8-4697-976C-1B7BE75CA5FB}"/>
                </c:ext>
              </c:extLst>
            </c:dLbl>
            <c:dLbl>
              <c:idx val="9"/>
              <c:tx>
                <c:rich>
                  <a:bodyPr rot="-5400000" vert="horz"/>
                  <a:lstStyle/>
                  <a:p>
                    <a:pPr algn="ctr"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25.5% no 2004.gada kravu apgrozījuma                 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FF8-4697-976C-1B7BE75CA5FB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BFF8-4697-976C-1B7BE75CA5FB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33CCCC">
                    <a:gamma/>
                    <a:tint val="60784"/>
                    <a:invGamma/>
                  </a:srgbClr>
                </a:gs>
                <a:gs pos="100000">
                  <a:srgbClr val="33CCCC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BFF8-4697-976C-1B7BE75CA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5439760"/>
        <c:axId val="-345436496"/>
      </c:barChart>
      <c:catAx>
        <c:axId val="-3454397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5436496"/>
        <c:crosses val="autoZero"/>
        <c:auto val="1"/>
        <c:lblAlgn val="ctr"/>
        <c:lblOffset val="100"/>
        <c:tickMarkSkip val="1"/>
        <c:noMultiLvlLbl val="0"/>
      </c:catAx>
      <c:valAx>
        <c:axId val="-34543649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454397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pārvadājumi pa dzelzceļu, milj.t, Liepāja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336666">
                    <a:gamma/>
                    <a:tint val="48627"/>
                    <a:invGamma/>
                  </a:srgbClr>
                </a:gs>
                <a:gs pos="100000">
                  <a:srgbClr val="336666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3E1-44FC-B34B-7E0210C9D15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68%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3E1-44FC-B34B-7E0210C9D15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3E1-44FC-B34B-7E0210C9D15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3E1-44FC-B34B-7E0210C9D15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3E1-44FC-B34B-7E0210C9D15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3E1-44FC-B34B-7E0210C9D15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3E1-44FC-B34B-7E0210C9D15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3E1-44FC-B34B-7E0210C9D15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3E1-44FC-B34B-7E0210C9D15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33E1-44FC-B34B-7E0210C9D153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69FFFF"/>
                </a:gs>
                <a:gs pos="100000">
                  <a:srgbClr val="69FFFF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34%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33E1-44FC-B34B-7E0210C9D15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33E1-44FC-B34B-7E0210C9D15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33E1-44FC-B34B-7E0210C9D15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33E1-44FC-B34B-7E0210C9D15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35%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33E1-44FC-B34B-7E0210C9D15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33E1-44FC-B34B-7E0210C9D15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40%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33E1-44FC-B34B-7E0210C9D15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38%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33E1-44FC-B34B-7E0210C9D15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37%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33E1-44FC-B34B-7E0210C9D15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3-33E1-44FC-B34B-7E0210C9D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5435408"/>
        <c:axId val="-345438672"/>
      </c:barChart>
      <c:catAx>
        <c:axId val="-3454354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5438672"/>
        <c:crosses val="autoZero"/>
        <c:auto val="1"/>
        <c:lblAlgn val="ctr"/>
        <c:lblOffset val="100"/>
        <c:tickMarkSkip val="1"/>
        <c:noMultiLvlLbl val="0"/>
      </c:catAx>
      <c:valAx>
        <c:axId val="-345438672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-345435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dzelzceļa kravu apgrozījums Liepājas ostā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ienemumi!#REF!</c:v>
          </c:tx>
          <c:spPr>
            <a:gradFill rotWithShape="0">
              <a:gsLst>
                <a:gs pos="0">
                  <a:srgbClr val="FF0000">
                    <a:gamma/>
                    <a:tint val="60784"/>
                    <a:invGamma/>
                  </a:srgbClr>
                </a:gs>
                <a:gs pos="100000">
                  <a:srgbClr val="FF000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0AC-48D5-83EC-FAB3043F739B}"/>
            </c:ext>
          </c:extLst>
        </c:ser>
        <c:ser>
          <c:idx val="2"/>
          <c:order val="1"/>
          <c:tx>
            <c:v>ienemumi!#REF!</c:v>
          </c:tx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7568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0AC-48D5-83EC-FAB3043F739B}"/>
            </c:ext>
          </c:extLst>
        </c:ser>
        <c:ser>
          <c:idx val="3"/>
          <c:order val="2"/>
          <c:tx>
            <c:v>ienemumi!#REF!</c:v>
          </c:tx>
          <c:spPr>
            <a:gradFill rotWithShape="0">
              <a:gsLst>
                <a:gs pos="0">
                  <a:srgbClr val="C0C0C0">
                    <a:gamma/>
                    <a:tint val="54510"/>
                    <a:invGamma/>
                  </a:srgbClr>
                </a:gs>
                <a:gs pos="100000">
                  <a:srgbClr val="C0C0C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0AC-48D5-83EC-FAB3043F7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5433776"/>
        <c:axId val="-345433232"/>
      </c:barChart>
      <c:catAx>
        <c:axId val="-3454337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5433232"/>
        <c:crosses val="autoZero"/>
        <c:auto val="1"/>
        <c:lblAlgn val="ctr"/>
        <c:lblOffset val="100"/>
        <c:tickMarkSkip val="1"/>
        <c:noMultiLvlLbl val="0"/>
      </c:catAx>
      <c:valAx>
        <c:axId val="-345433232"/>
        <c:scaling>
          <c:orientation val="minMax"/>
          <c:max val="22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45433776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nosūtītas un saņemtas kravas Liepājas ostā pa kravu veidiem, % 2004.gadā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96969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4FA-44ED-A8DA-05E33D69EA8D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FA-44ED-A8DA-05E33D69EA8D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FA-44ED-A8DA-05E33D69EA8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FA-44ED-A8DA-05E33D69EA8D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FA-44ED-A8DA-05E33D69EA8D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FA-44ED-A8DA-05E33D69EA8D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FA-44ED-A8DA-05E33D69EA8D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FA-44ED-A8DA-05E33D69EA8D}"/>
                </c:ext>
              </c:extLst>
            </c:dLbl>
            <c:dLbl>
              <c:idx val="7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FA-44ED-A8DA-05E33D69EA8D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FA-44ED-A8DA-05E33D69EA8D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FA-44ED-A8DA-05E33D69EA8D}"/>
                </c:ext>
              </c:extLst>
            </c:dLbl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FA-44ED-A8DA-05E33D69EA8D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FA-44ED-A8DA-05E33D69EA8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C4FA-44ED-A8DA-05E33D69E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nosūtītas un saņemtas kravas 2003.gadā pa kravu veidiem, %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996633"/>
                </a:gs>
                <a:gs pos="100000">
                  <a:srgbClr val="996633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0AA-4463-A215-9CB92A01117A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336666"/>
                </a:gs>
                <a:gs pos="100000">
                  <a:srgbClr val="336666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0AA-4463-A215-9CB92A01117A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A6CAF0"/>
                </a:gs>
                <a:gs pos="100000">
                  <a:srgbClr val="A6CAF0">
                    <a:gamma/>
                    <a:shade val="6078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AA-4463-A215-9CB92A011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50966160"/>
        <c:axId val="-150965616"/>
      </c:barChart>
      <c:catAx>
        <c:axId val="-1509661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965616"/>
        <c:crosses val="autoZero"/>
        <c:auto val="1"/>
        <c:lblAlgn val="ctr"/>
        <c:lblOffset val="100"/>
        <c:tickMarkSkip val="1"/>
        <c:noMultiLvlLbl val="0"/>
      </c:catAx>
      <c:valAx>
        <c:axId val="-150965616"/>
        <c:scaling>
          <c:orientation val="minMax"/>
          <c:max val="65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-1509661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(% pret 1995.gadu)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008000">
                    <a:gamma/>
                    <a:tint val="30196"/>
                    <a:invGamma/>
                  </a:srgbClr>
                </a:gs>
                <a:gs pos="100000">
                  <a:srgbClr val="008000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68.5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E5E-4047-915F-7B16A1B0A27E}"/>
                </c:ext>
              </c:extLst>
            </c:dLbl>
            <c:dLbl>
              <c:idx val="1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81.0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E5E-4047-915F-7B16A1B0A27E}"/>
                </c:ext>
              </c:extLst>
            </c:dLbl>
            <c:dLbl>
              <c:idx val="2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99.4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E5E-4047-915F-7B16A1B0A27E}"/>
                </c:ext>
              </c:extLst>
            </c:dLbl>
            <c:dLbl>
              <c:idx val="3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100.1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E5E-4047-915F-7B16A1B0A27E}"/>
                </c:ext>
              </c:extLst>
            </c:dLbl>
            <c:dLbl>
              <c:idx val="4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104.3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E5E-4047-915F-7B16A1B0A27E}"/>
                </c:ext>
              </c:extLst>
            </c:dLbl>
            <c:dLbl>
              <c:idx val="5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119.9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E5E-4047-915F-7B16A1B0A27E}"/>
                </c:ext>
              </c:extLst>
            </c:dLbl>
            <c:dLbl>
              <c:idx val="6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127.8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2E5E-4047-915F-7B16A1B0A27E}"/>
                </c:ext>
              </c:extLst>
            </c:dLbl>
            <c:dLbl>
              <c:idx val="7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139.4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E5E-4047-915F-7B16A1B0A27E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165.1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2E5E-4047-915F-7B16A1B0A27E}"/>
                </c:ext>
              </c:extLst>
            </c:dLbl>
            <c:dLbl>
              <c:idx val="9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243.1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2E5E-4047-915F-7B16A1B0A27E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 rtl="0">
                  <a:defRPr sz="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2E5E-4047-915F-7B16A1B0A27E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A6CAF0"/>
                </a:gs>
                <a:gs pos="100000">
                  <a:srgbClr val="A6CAF0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1164.5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2E5E-4047-915F-7B16A1B0A27E}"/>
                </c:ext>
              </c:extLst>
            </c:dLbl>
            <c:dLbl>
              <c:idx val="1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1308.4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2E5E-4047-915F-7B16A1B0A27E}"/>
                </c:ext>
              </c:extLst>
            </c:dLbl>
            <c:dLbl>
              <c:idx val="2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1462.6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2E5E-4047-915F-7B16A1B0A27E}"/>
                </c:ext>
              </c:extLst>
            </c:dLbl>
            <c:dLbl>
              <c:idx val="3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1637.4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2E5E-4047-915F-7B16A1B0A27E}"/>
                </c:ext>
              </c:extLst>
            </c:dLbl>
            <c:dLbl>
              <c:idx val="4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1485.1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2E5E-4047-915F-7B16A1B0A27E}"/>
                </c:ext>
              </c:extLst>
            </c:dLbl>
            <c:dLbl>
              <c:idx val="5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1583.5milj.ls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2E5E-4047-915F-7B16A1B0A27E}"/>
                </c:ext>
              </c:extLst>
            </c:dLbl>
            <c:dLbl>
              <c:idx val="6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1795.0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2E5E-4047-915F-7B16A1B0A27E}"/>
                </c:ext>
              </c:extLst>
            </c:dLbl>
            <c:dLbl>
              <c:idx val="7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1983.3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2E5E-4047-915F-7B16A1B0A27E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2235.6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2E5E-4047-915F-7B16A1B0A27E}"/>
                </c:ext>
              </c:extLst>
            </c:dLbl>
            <c:dLbl>
              <c:idx val="9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2710.8 milj.Ls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2E5E-4047-915F-7B16A1B0A27E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5-2E5E-4047-915F-7B16A1B0A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918576"/>
        <c:axId val="-36920752"/>
      </c:barChart>
      <c:catAx>
        <c:axId val="-369185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92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920752"/>
        <c:scaling>
          <c:orientation val="minMax"/>
          <c:max val="4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6918576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apgrozījums Liepājas ostā, milj.t.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800080">
                    <a:gamma/>
                    <a:tint val="51373"/>
                    <a:invGamma/>
                  </a:srgbClr>
                </a:gs>
                <a:gs pos="100000">
                  <a:srgbClr val="800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AEC-458C-AA54-24E1B9D2AD31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69FFFF"/>
                </a:gs>
                <a:gs pos="100000">
                  <a:srgbClr val="69FFFF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AEC-458C-AA54-24E1B9D2AD31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FF8080">
                    <a:gamma/>
                    <a:tint val="69804"/>
                    <a:invGamma/>
                  </a:srgbClr>
                </a:gs>
                <a:gs pos="100000">
                  <a:srgbClr val="FF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AEC-458C-AA54-24E1B9D2A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962352"/>
        <c:axId val="-150962896"/>
      </c:barChart>
      <c:catAx>
        <c:axId val="-15096235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962896"/>
        <c:crosses val="autoZero"/>
        <c:auto val="1"/>
        <c:lblAlgn val="ctr"/>
        <c:lblOffset val="100"/>
        <c:tickMarkSkip val="1"/>
        <c:noMultiLvlLbl val="0"/>
      </c:catAx>
      <c:valAx>
        <c:axId val="-150962896"/>
        <c:scaling>
          <c:orientation val="minMax"/>
          <c:max val="6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-150962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nosūtītas un saņemtas kravas 2005.gada 1.ceturksnī,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pattFill prst="pct50">
              <a:fgClr>
                <a:srgbClr val="FFFFFF"/>
              </a:fgClr>
              <a:bgClr>
                <a:srgbClr val="FF0F70"/>
              </a:bgClr>
            </a:pattFill>
            <a:ln w="3175">
              <a:solidFill>
                <a:srgbClr val="FF0F7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93.3%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9CB-406B-B869-C24875A071B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89.6%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9CB-406B-B869-C24875A071B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98.7%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9CB-406B-B869-C24875A071B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9CB-406B-B869-C24875A071B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9CB-406B-B869-C24875A071B9}"/>
            </c:ext>
          </c:extLst>
        </c:ser>
        <c:ser>
          <c:idx val="1"/>
          <c:order val="1"/>
          <c:tx>
            <c:v>ienemumi!#REF!</c:v>
          </c:tx>
          <c:spPr>
            <a:pattFill prst="pct50">
              <a:fgClr>
                <a:srgbClr val="FFFFFF"/>
              </a:fgClr>
              <a:bgClr>
                <a:srgbClr val="33CCCC"/>
              </a:bgClr>
            </a:pattFill>
            <a:ln w="3175">
              <a:solidFill>
                <a:srgbClr val="33CCCC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9CB-406B-B869-C24875A071B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E9CB-406B-B869-C24875A071B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9CB-406B-B869-C24875A071B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E9CB-406B-B869-C24875A071B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9CB-406B-B869-C24875A071B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E9CB-406B-B869-C24875A071B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E9CB-406B-B869-C24875A071B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E9CB-406B-B869-C24875A071B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E9CB-406B-B869-C24875A07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965072"/>
        <c:axId val="-150963440"/>
      </c:barChart>
      <c:catAx>
        <c:axId val="-1509650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963440"/>
        <c:crosses val="autoZero"/>
        <c:auto val="1"/>
        <c:lblAlgn val="ctr"/>
        <c:lblOffset val="100"/>
        <c:tickMarkSkip val="1"/>
        <c:noMultiLvlLbl val="0"/>
      </c:catAx>
      <c:valAx>
        <c:axId val="-150963440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965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Pasažieru pārvadājumi Liepājas pilsētā, milj.cilv.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FFFF00"/>
                </a:gs>
                <a:gs pos="100000">
                  <a:srgbClr val="FFFF00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F1-4F68-8D15-566CD7022E9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F1-4F68-8D15-566CD7022E9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F1-4F68-8D15-566CD7022E9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F1-4F68-8D15-566CD7022E9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F1-4F68-8D15-566CD7022E9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F1-4F68-8D15-566CD7022E9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F1-4F68-8D15-566CD7022E9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F1-4F68-8D15-566CD7022E97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 algn="ctr">
                      <a:defRPr sz="15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25.4% no 2004.gada pasažieru apgrozījuma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21F1-4F68-8D15-566CD7022E97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21F1-4F68-8D15-566CD7022E97}"/>
            </c:ext>
          </c:extLst>
        </c:ser>
        <c:ser>
          <c:idx val="1"/>
          <c:order val="1"/>
          <c:tx>
            <c:v>ienemumi!#REF!</c:v>
          </c:tx>
          <c:spPr>
            <a:noFill/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21F1-4F68-8D15-566CD7022E97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A6CAF0"/>
                </a:gs>
                <a:gs pos="100000">
                  <a:srgbClr val="A6CAF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21F1-4F68-8D15-566CD7022E97}"/>
            </c:ext>
          </c:extLst>
        </c:ser>
        <c:ser>
          <c:idx val="3"/>
          <c:order val="3"/>
          <c:tx>
            <c:v>ienemumi!#REF!</c:v>
          </c:tx>
          <c:spPr>
            <a:solidFill>
              <a:srgbClr val="339933"/>
            </a:soli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21F1-4F68-8D15-566CD7022E97}"/>
            </c:ext>
          </c:extLst>
        </c:ser>
        <c:ser>
          <c:idx val="4"/>
          <c:order val="4"/>
          <c:tx>
            <c:v>ienemumi!#REF!</c:v>
          </c:tx>
          <c:spPr>
            <a:solidFill>
              <a:srgbClr val="996633"/>
            </a:soli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21F1-4F68-8D15-566CD7022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959632"/>
        <c:axId val="-150964528"/>
      </c:barChart>
      <c:catAx>
        <c:axId val="-15095963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964528"/>
        <c:crosses val="autoZero"/>
        <c:auto val="1"/>
        <c:lblAlgn val="ctr"/>
        <c:lblOffset val="100"/>
        <c:tickMarkSkip val="1"/>
        <c:noMultiLvlLbl val="0"/>
      </c:catAx>
      <c:valAx>
        <c:axId val="-150964528"/>
        <c:scaling>
          <c:orientation val="minMax"/>
          <c:max val="26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959632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Iebraukušie un izbraukušie pasažieri Liepājas ostā, tūkst.cilv.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33CCCC"/>
                </a:gs>
                <a:gs pos="100000">
                  <a:srgbClr val="33CCCC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2B-4307-AE88-8C9CB2092B0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2B-4307-AE88-8C9CB2092B0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2B-4307-AE88-8C9CB2092B0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2B-4307-AE88-8C9CB2092B05}"/>
                </c:ext>
              </c:extLst>
            </c:dLbl>
            <c:dLbl>
              <c:idx val="4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11.2% no 2003.gada pasažieru apgrozības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92B-4307-AE88-8C9CB2092B05}"/>
                </c:ext>
              </c:extLst>
            </c:dLbl>
            <c:dLbl>
              <c:idx val="5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14.5% no 2004.gada pasasžieru apgrozības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92B-4307-AE88-8C9CB2092B0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2B-4307-AE88-8C9CB2092B0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200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E92B-4307-AE88-8C9CB2092B05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339933">
                    <a:gamma/>
                    <a:tint val="66667"/>
                    <a:invGamma/>
                  </a:srgbClr>
                </a:gs>
                <a:gs pos="100000">
                  <a:srgbClr val="339933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92B-4307-AE88-8C9CB2092B05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A6CAF0">
                    <a:gamma/>
                    <a:tint val="75686"/>
                    <a:invGamma/>
                  </a:srgbClr>
                </a:gs>
                <a:gs pos="100000">
                  <a:srgbClr val="A6CAF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E92B-4307-AE88-8C9CB2092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963984"/>
        <c:axId val="-150960176"/>
      </c:barChart>
      <c:catAx>
        <c:axId val="-1509639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960176"/>
        <c:crosses val="autoZero"/>
        <c:auto val="1"/>
        <c:lblAlgn val="ctr"/>
        <c:lblOffset val="100"/>
        <c:tickMarkSkip val="1"/>
        <c:noMultiLvlLbl val="0"/>
      </c:catAx>
      <c:valAx>
        <c:axId val="-150960176"/>
        <c:scaling>
          <c:orientation val="minMax"/>
          <c:max val="151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963984"/>
        <c:crosses val="autoZero"/>
        <c:crossBetween val="between"/>
        <c:majorUnit val="151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Pasažieru pārvadājumi Latvijas ostās (% pret 2000.gadu)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DFD-44FC-AA69-A2E9D843F170}"/>
            </c:ext>
          </c:extLst>
        </c:ser>
        <c:ser>
          <c:idx val="1"/>
          <c:order val="1"/>
          <c:tx>
            <c:v>ienemumi!#REF!</c:v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DFD-44FC-AA69-A2E9D843F170}"/>
            </c:ext>
          </c:extLst>
        </c:ser>
        <c:ser>
          <c:idx val="2"/>
          <c:order val="2"/>
          <c:tx>
            <c:v>ienemumi!#REF!</c:v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DFD-44FC-AA69-A2E9D843F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0596704"/>
        <c:axId val="-510591264"/>
      </c:lineChart>
      <c:catAx>
        <c:axId val="-5105967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510591264"/>
        <c:crosses val="autoZero"/>
        <c:auto val="1"/>
        <c:lblAlgn val="ctr"/>
        <c:lblOffset val="100"/>
        <c:tickMarkSkip val="1"/>
        <c:noMultiLvlLbl val="0"/>
      </c:catAx>
      <c:valAx>
        <c:axId val="-510591264"/>
        <c:scaling>
          <c:orientation val="minMax"/>
          <c:max val="5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510596704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Pāvadāto pasažieru skaits pasažieri lidostā "Liepāja"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34B-4394-AC39-F32D250BB84E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FFFF99"/>
                </a:gs>
                <a:gs pos="100000">
                  <a:srgbClr val="FFFF99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34B-4394-AC39-F32D250BB84E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008000">
                    <a:gamma/>
                    <a:tint val="21176"/>
                    <a:invGamma/>
                  </a:srgbClr>
                </a:gs>
                <a:gs pos="100000">
                  <a:srgbClr val="00800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34B-4394-AC39-F32D250BB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10592896"/>
        <c:axId val="-510592352"/>
      </c:barChart>
      <c:catAx>
        <c:axId val="-5105928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510592352"/>
        <c:crosses val="autoZero"/>
        <c:auto val="1"/>
        <c:lblAlgn val="ctr"/>
        <c:lblOffset val="100"/>
        <c:tickMarkSkip val="1"/>
        <c:noMultiLvlLbl val="0"/>
      </c:catAx>
      <c:valAx>
        <c:axId val="-510592352"/>
        <c:scaling>
          <c:orientation val="minMax"/>
          <c:max val="25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510592896"/>
        <c:crosses val="autoZero"/>
        <c:crossBetween val="between"/>
        <c:majorUnit val="2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424242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Vieglo automobiļu skaits uz 1000 iedzīvotājiem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424242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73E-4DEF-98F5-8F47CA8414D5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73E-4DEF-98F5-8F47CA8414D5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73E-4DEF-98F5-8F47CA8414D5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9966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73E-4DEF-98F5-8F47CA8414D5}"/>
            </c:ext>
          </c:extLst>
        </c:ser>
        <c:ser>
          <c:idx val="4"/>
          <c:order val="4"/>
          <c:tx>
            <c:v>ienemumi!#REF!</c:v>
          </c:tx>
          <c:spPr>
            <a:ln w="12700">
              <a:solidFill>
                <a:srgbClr val="3366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73E-4DEF-98F5-8F47CA8414D5}"/>
            </c:ext>
          </c:extLst>
        </c:ser>
        <c:ser>
          <c:idx val="5"/>
          <c:order val="5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73E-4DEF-98F5-8F47CA8414D5}"/>
            </c:ext>
          </c:extLst>
        </c:ser>
        <c:ser>
          <c:idx val="6"/>
          <c:order val="6"/>
          <c:tx>
            <c:v>ienemumi!#REF!</c:v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CC9CCC"/>
              </a:solidFill>
              <a:ln>
                <a:solidFill>
                  <a:srgbClr val="CC9CCC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73E-4DEF-98F5-8F47CA8414D5}"/>
            </c:ext>
          </c:extLst>
        </c:ser>
        <c:ser>
          <c:idx val="7"/>
          <c:order val="7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A73E-4DEF-98F5-8F47CA841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0591808"/>
        <c:axId val="-510593440"/>
      </c:lineChart>
      <c:catAx>
        <c:axId val="-5105918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51059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10593440"/>
        <c:scaling>
          <c:orientation val="minMax"/>
          <c:max val="350"/>
          <c:min val="1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510591808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nosūtītās un saņemtās kravas (kravu apgrozība),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665-4679-A457-8252F0DEBE1E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665-4679-A457-8252F0DEBE1E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665-4679-A457-8252F0DEBE1E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665-4679-A457-8252F0DEB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0590176"/>
        <c:axId val="-510595616"/>
      </c:lineChart>
      <c:catAx>
        <c:axId val="-5105901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51059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10595616"/>
        <c:scaling>
          <c:orientation val="minMax"/>
          <c:max val="38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510590176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nosūtītās kravas,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90B-42E4-B077-E37050E98CF3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90B-42E4-B077-E37050E98CF3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90B-42E4-B077-E37050E98CF3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90B-42E4-B077-E37050E98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0595072"/>
        <c:axId val="-219006864"/>
      </c:lineChart>
      <c:catAx>
        <c:axId val="-5105950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21900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9006864"/>
        <c:scaling>
          <c:orientation val="minMax"/>
          <c:max val="38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510595072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saņemtās kravas,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11E-49A8-9A1A-DDB13B61EFF0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11E-49A8-9A1A-DDB13B61EFF0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11E-49A8-9A1A-DDB13B61EFF0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11E-49A8-9A1A-DDB13B61E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9012304"/>
        <c:axId val="-219012848"/>
      </c:lineChart>
      <c:catAx>
        <c:axId val="-2190123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21901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9012848"/>
        <c:scaling>
          <c:orientation val="minMax"/>
          <c:max val="3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901230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pārmaiņas 2004.gadā  (% pret 2003.gadu)
          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4"/>
      <c:hPercent val="500"/>
      <c:rotY val="5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6633">
                    <a:gamma/>
                    <a:tint val="30196"/>
                    <a:invGamma/>
                  </a:srgbClr>
                </a:gs>
                <a:gs pos="100000">
                  <a:srgbClr val="996633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D69-42A5-ADD1-58586B7DE3E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D69-42A5-ADD1-58586B7DE3E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D69-42A5-ADD1-58586B7DE3E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D69-42A5-ADD1-58586B7DE3E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D69-42A5-ADD1-58586B7DE3E1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D69-42A5-ADD1-58586B7DE3E1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D69-42A5-ADD1-58586B7DE3E1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D69-42A5-ADD1-58586B7DE3E1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BD69-42A5-ADD1-58586B7DE3E1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D69-42A5-ADD1-58586B7DE3E1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D69-42A5-ADD1-58586B7DE3E1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D69-42A5-ADD1-58586B7DE3E1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BD69-42A5-ADD1-58586B7DE3E1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D69-42A5-ADD1-58586B7DE3E1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BD69-42A5-ADD1-58586B7DE3E1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D69-42A5-ADD1-58586B7DE3E1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BD69-42A5-ADD1-58586B7DE3E1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D69-42A5-ADD1-58586B7DE3E1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BD69-42A5-ADD1-58586B7DE3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48FCC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3-BD69-42A5-ADD1-58586B7DE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41774768"/>
        <c:axId val="-341778032"/>
        <c:axId val="0"/>
      </c:bar3DChart>
      <c:catAx>
        <c:axId val="-34177476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424242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177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4177803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17747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Valsts sociālā nodrošinājuma pabalsta un pensiju saņēmēju skaits Liepājā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0080C0">
                    <a:gamma/>
                    <a:tint val="30196"/>
                    <a:invGamma/>
                  </a:srgbClr>
                </a:gs>
                <a:gs pos="100000">
                  <a:srgbClr val="0080C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FBD-473A-A9D6-8AB4D02285DC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802060">
                    <a:gamma/>
                    <a:tint val="33333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FBD-473A-A9D6-8AB4D02285DC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008080">
                    <a:gamma/>
                    <a:tint val="45490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FBD-473A-A9D6-8AB4D02285DC}"/>
            </c:ext>
          </c:extLst>
        </c:ser>
        <c:ser>
          <c:idx val="3"/>
          <c:order val="3"/>
          <c:tx>
            <c:v>ienemumi!#REF!</c:v>
          </c:tx>
          <c:spPr>
            <a:gradFill rotWithShape="0">
              <a:gsLst>
                <a:gs pos="0">
                  <a:srgbClr val="008000">
                    <a:gamma/>
                    <a:tint val="48627"/>
                    <a:invGamma/>
                  </a:srgbClr>
                </a:gs>
                <a:gs pos="100000">
                  <a:srgbClr val="00800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FBD-473A-A9D6-8AB4D02285DC}"/>
            </c:ext>
          </c:extLst>
        </c:ser>
        <c:ser>
          <c:idx val="4"/>
          <c:order val="4"/>
          <c:tx>
            <c:v>ienemumi!#REF!</c:v>
          </c:tx>
          <c:spPr>
            <a:gradFill rotWithShape="0">
              <a:gsLst>
                <a:gs pos="0">
                  <a:srgbClr val="600080">
                    <a:gamma/>
                    <a:tint val="39216"/>
                    <a:invGamma/>
                  </a:srgbClr>
                </a:gs>
                <a:gs pos="100000">
                  <a:srgbClr val="600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FFBD-473A-A9D6-8AB4D02285DC}"/>
            </c:ext>
          </c:extLst>
        </c:ser>
        <c:ser>
          <c:idx val="5"/>
          <c:order val="5"/>
          <c:tx>
            <c:v>ienemumi!#REF!</c:v>
          </c:tx>
          <c:spPr>
            <a:gradFill rotWithShape="0">
              <a:gsLst>
                <a:gs pos="0">
                  <a:srgbClr val="FF8080">
                    <a:gamma/>
                    <a:tint val="30196"/>
                    <a:invGamma/>
                  </a:srgbClr>
                </a:gs>
                <a:gs pos="100000">
                  <a:srgbClr val="FF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FFBD-473A-A9D6-8AB4D0228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9010128"/>
        <c:axId val="-219009584"/>
      </c:barChart>
      <c:catAx>
        <c:axId val="-2190101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9009584"/>
        <c:crosses val="autoZero"/>
        <c:auto val="1"/>
        <c:lblAlgn val="ctr"/>
        <c:lblOffset val="100"/>
        <c:tickMarkSkip val="1"/>
        <c:noMultiLvlLbl val="0"/>
      </c:catAx>
      <c:valAx>
        <c:axId val="-219009584"/>
        <c:scaling>
          <c:orientation val="minMax"/>
          <c:max val="2075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9010128"/>
        <c:crosses val="autoZero"/>
        <c:crossBetween val="between"/>
        <c:majorUnit val="207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Vidējā pensija un vidējais valsts sociālā nodrošinājuma pabalsts Liepājā, Ls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008080">
                    <a:gamma/>
                    <a:tint val="60784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0F5-473B-A06E-B64F46AB3B56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996633"/>
                </a:gs>
                <a:gs pos="100000">
                  <a:srgbClr val="996633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0F5-473B-A06E-B64F46AB3B56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FFFF00"/>
                </a:gs>
                <a:gs pos="100000">
                  <a:srgbClr val="FFFF00">
                    <a:gamma/>
                    <a:shade val="7568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0F5-473B-A06E-B64F46AB3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9009040"/>
        <c:axId val="-219008496"/>
      </c:barChart>
      <c:catAx>
        <c:axId val="-2190090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9008496"/>
        <c:crosses val="autoZero"/>
        <c:auto val="1"/>
        <c:lblAlgn val="ctr"/>
        <c:lblOffset val="100"/>
        <c:tickMarkSkip val="1"/>
        <c:noMultiLvlLbl val="0"/>
      </c:catAx>
      <c:valAx>
        <c:axId val="-219008496"/>
        <c:scaling>
          <c:orientation val="minMax"/>
          <c:max val="1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-219009040"/>
        <c:crosses val="autoZero"/>
        <c:crossBetween val="between"/>
        <c:majorUnit val="10"/>
        <c:min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Vidējās pensijas un vidējā valsts sociālā nodrošinājuma pabalsta dinamika Liepājā
(% pret 2004.gada 1.pusgadu)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9B2-4C17-9B7C-C8D312A56C5B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9B2-4C17-9B7C-C8D312A56C5B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996633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9B2-4C17-9B7C-C8D312A56C5B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9B2-4C17-9B7C-C8D312A56C5B}"/>
            </c:ext>
          </c:extLst>
        </c:ser>
        <c:ser>
          <c:idx val="4"/>
          <c:order val="4"/>
          <c:tx>
            <c:v>ienemumi!#REF!</c:v>
          </c:tx>
          <c:spPr>
            <a:ln w="12700">
              <a:solidFill>
                <a:srgbClr val="C0C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0C0FF"/>
              </a:solidFill>
              <a:ln>
                <a:solidFill>
                  <a:srgbClr val="C0C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49B2-4C17-9B7C-C8D312A56C5B}"/>
            </c:ext>
          </c:extLst>
        </c:ser>
        <c:ser>
          <c:idx val="5"/>
          <c:order val="5"/>
          <c:tx>
            <c:v>ienemumi!#REF!</c:v>
          </c:tx>
          <c:spPr>
            <a:ln w="12700">
              <a:solidFill>
                <a:srgbClr val="33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49B2-4C17-9B7C-C8D312A56C5B}"/>
            </c:ext>
          </c:extLst>
        </c:ser>
        <c:ser>
          <c:idx val="6"/>
          <c:order val="6"/>
          <c:tx>
            <c:v>ienemumi!#REF!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49B2-4C17-9B7C-C8D312A56C5B}"/>
            </c:ext>
          </c:extLst>
        </c:ser>
        <c:ser>
          <c:idx val="7"/>
          <c:order val="7"/>
          <c:tx>
            <c:v>ienemumi!#REF!</c:v>
          </c:tx>
          <c:spPr>
            <a:ln w="12700">
              <a:solidFill>
                <a:srgbClr val="999933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49B2-4C17-9B7C-C8D312A56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9011760"/>
        <c:axId val="-219007952"/>
      </c:lineChart>
      <c:catAx>
        <c:axId val="-21901176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9007952"/>
        <c:crosses val="autoZero"/>
        <c:auto val="1"/>
        <c:lblAlgn val="ctr"/>
        <c:lblOffset val="100"/>
        <c:tickMarkSkip val="1"/>
        <c:noMultiLvlLbl val="0"/>
      </c:catAx>
      <c:valAx>
        <c:axId val="-219007952"/>
        <c:scaling>
          <c:orientation val="minMax"/>
          <c:max val="115"/>
          <c:min val="95"/>
        </c:scaling>
        <c:delete val="1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9011760"/>
        <c:crosses val="autoZero"/>
        <c:crossBetween val="between"/>
        <c:majorUnit val="4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Visu pensiju veidu saņēmēju skaita sadalījums pēc piešķirtās pensijas apmēra Liepājā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A6CAF0"/>
                </a:gs>
                <a:gs pos="100000">
                  <a:srgbClr val="A6CAF0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9D9-4910-BEEA-AD6F1FBE0553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800080">
                    <a:gamma/>
                    <a:tint val="36471"/>
                    <a:invGamma/>
                  </a:srgbClr>
                </a:gs>
                <a:gs pos="100000">
                  <a:srgbClr val="800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9D9-4910-BEEA-AD6F1FBE0553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33CCCC"/>
                </a:gs>
                <a:gs pos="100000">
                  <a:srgbClr val="33CCCC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9D9-4910-BEEA-AD6F1FBE0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07023296"/>
        <c:axId val="-507022752"/>
      </c:barChart>
      <c:catAx>
        <c:axId val="-50702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507022752"/>
        <c:crosses val="autoZero"/>
        <c:auto val="1"/>
        <c:lblAlgn val="ctr"/>
        <c:lblOffset val="100"/>
        <c:tickMarkSkip val="1"/>
        <c:noMultiLvlLbl val="0"/>
      </c:catAx>
      <c:valAx>
        <c:axId val="-507022752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50702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Visu pensiju veidu saņēmēju skaita sadalījums pa vecuma grupām, Liepājas pilsēta 
2005.gada 1.pusgadā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solidFill>
                <a:srgbClr val="E3E3E3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6B1-4ADE-BA7E-DE4E94D90ED9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B1-4ADE-BA7E-DE4E94D90ED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B1-4ADE-BA7E-DE4E94D90ED9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B1-4ADE-BA7E-DE4E94D90ED9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B1-4ADE-BA7E-DE4E94D90ED9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B1-4ADE-BA7E-DE4E94D90ED9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B1-4ADE-BA7E-DE4E94D90ED9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B1-4ADE-BA7E-DE4E94D90ED9}"/>
                </c:ext>
              </c:extLst>
            </c:dLbl>
            <c:dLbl>
              <c:idx val="7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B1-4ADE-BA7E-DE4E94D90ED9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B1-4ADE-BA7E-DE4E94D90ED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B6B1-4ADE-BA7E-DE4E94D90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sng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>
                <a:solidFill>
                  <a:schemeClr val="tx1"/>
                </a:solidFill>
              </a:rPr>
              <a:t>Bruto darba samaksas fonds sadalījumā pa nozarēm Liepājā, 2021.gadā (%)</a:t>
            </a:r>
          </a:p>
        </c:rich>
      </c:tx>
      <c:layout>
        <c:manualLayout>
          <c:xMode val="edge"/>
          <c:yMode val="edge"/>
          <c:x val="0.38545505574179462"/>
          <c:y val="1.4383989993746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228970564347211"/>
          <c:y val="5.5659787367104439E-2"/>
          <c:w val="0.63523539630010017"/>
          <c:h val="0.934333958724202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ienemumi!$A$135</c:f>
              <c:strCache>
                <c:ptCount val="1"/>
                <c:pt idx="0">
                  <c:v>2021,%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noFill/>
              <a:prstDash val="solid"/>
            </a:ln>
            <a:scene3d>
              <a:camera prst="orthographicFront"/>
              <a:lightRig rig="threePt" dir="t"/>
            </a:scene3d>
            <a:sp3d prstMaterial="dkEdge"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3175">
                <a:noFill/>
                <a:prstDash val="solid"/>
              </a:ln>
              <a:scene3d>
                <a:camera prst="orthographicFront"/>
                <a:lightRig rig="threePt" dir="t"/>
              </a:scene3d>
              <a:sp3d prstMaterial="dkEdge">
                <a:bevelT/>
              </a:sp3d>
            </c:spPr>
            <c:extLst>
              <c:ext xmlns:c16="http://schemas.microsoft.com/office/drawing/2014/chart" uri="{C3380CC4-5D6E-409C-BE32-E72D297353CC}">
                <c16:uniqueId val="{00000001-D504-43C4-9FFF-82AD173A7626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 w="3175">
                <a:noFill/>
                <a:prstDash val="solid"/>
              </a:ln>
              <a:scene3d>
                <a:camera prst="orthographicFront"/>
                <a:lightRig rig="threePt" dir="t"/>
              </a:scene3d>
              <a:sp3d prstMaterial="dkEdge">
                <a:bevelT/>
              </a:sp3d>
            </c:spPr>
            <c:extLst>
              <c:ext xmlns:c16="http://schemas.microsoft.com/office/drawing/2014/chart" uri="{C3380CC4-5D6E-409C-BE32-E72D297353CC}">
                <c16:uniqueId val="{00000003-D504-43C4-9FFF-82AD173A762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504-43C4-9FFF-82AD173A762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chemeClr val="tx1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ienemumi!$B$134:$P$134</c:f>
              <c:strCache>
                <c:ptCount val="15"/>
                <c:pt idx="0">
                  <c:v>PAKALPOJUMU NOZARES KOPĀ: tai skaitā:</c:v>
                </c:pt>
                <c:pt idx="1">
                  <c:v>Tirdzniecība,auto, moto remonts</c:v>
                </c:pt>
                <c:pt idx="2">
                  <c:v>Izmitināšanas un ēdināšanas pak.</c:v>
                </c:pt>
                <c:pt idx="3">
                  <c:v>Transports, glabāšana </c:v>
                </c:pt>
                <c:pt idx="4">
                  <c:v>Operācijas ar nekustamo īpašumu, </c:v>
                </c:pt>
                <c:pt idx="5">
                  <c:v>Valsts pārvalde un aizsardzība</c:v>
                </c:pt>
                <c:pt idx="6">
                  <c:v>Izglītība</c:v>
                </c:pt>
                <c:pt idx="7">
                  <c:v>Veselība un sociālā aprūpe</c:v>
                </c:pt>
                <c:pt idx="8">
                  <c:v>Pārējie pakalpojumi</c:v>
                </c:pt>
                <c:pt idx="9">
                  <c:v>PREČU RAŽOŠANAS NOZARES KOPĀ: tai skaitā:</c:v>
                </c:pt>
                <c:pt idx="10">
                  <c:v>Zvejniecība, mežsaimniecība</c:v>
                </c:pt>
                <c:pt idx="11">
                  <c:v>Rūpniecība</c:v>
                </c:pt>
                <c:pt idx="12">
                  <c:v>Energoapgāde</c:v>
                </c:pt>
                <c:pt idx="13">
                  <c:v>Ūdens apgāde</c:v>
                </c:pt>
                <c:pt idx="14">
                  <c:v>Būvniecība</c:v>
                </c:pt>
              </c:strCache>
            </c:strRef>
          </c:cat>
          <c:val>
            <c:numRef>
              <c:f>ienemumi!$B$135:$P$135</c:f>
              <c:numCache>
                <c:formatCode>0.0</c:formatCode>
                <c:ptCount val="15"/>
                <c:pt idx="0">
                  <c:v>54.087626652814627</c:v>
                </c:pt>
                <c:pt idx="1">
                  <c:v>17.238837756045847</c:v>
                </c:pt>
                <c:pt idx="2">
                  <c:v>5.0065491208795887</c:v>
                </c:pt>
                <c:pt idx="3">
                  <c:v>17.261981613100868</c:v>
                </c:pt>
                <c:pt idx="4">
                  <c:v>3.3348549567641994</c:v>
                </c:pt>
                <c:pt idx="5">
                  <c:v>6.4000329385163575</c:v>
                </c:pt>
                <c:pt idx="6">
                  <c:v>18.81069618446298</c:v>
                </c:pt>
                <c:pt idx="7">
                  <c:v>17.779809997245064</c:v>
                </c:pt>
                <c:pt idx="8">
                  <c:v>14.6</c:v>
                </c:pt>
                <c:pt idx="9">
                  <c:v>45.912373347185373</c:v>
                </c:pt>
                <c:pt idx="10">
                  <c:v>2.3808944375491796</c:v>
                </c:pt>
                <c:pt idx="11">
                  <c:v>59.848927142842044</c:v>
                </c:pt>
                <c:pt idx="12">
                  <c:v>1.2703701559467475</c:v>
                </c:pt>
                <c:pt idx="13">
                  <c:v>2.6796086924162958</c:v>
                </c:pt>
                <c:pt idx="14">
                  <c:v>33.82019957124573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04-43C4-9FFF-82AD173A7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07017856"/>
        <c:axId val="-507021664"/>
      </c:barChart>
      <c:catAx>
        <c:axId val="-50701785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50702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07021664"/>
        <c:scaling>
          <c:orientation val="minMax"/>
          <c:max val="78"/>
          <c:min val="0"/>
        </c:scaling>
        <c:delete val="1"/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507017856"/>
        <c:crosses val="autoZero"/>
        <c:crossBetween val="between"/>
        <c:majorUnit val="7.8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8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>
                <a:solidFill>
                  <a:schemeClr val="tx1"/>
                </a:solidFill>
              </a:rPr>
              <a:t>Mēneša vidējā apdrošināšanas iemaksu alga un mēneša vidējā izmaksājamā vecuma pensija, EUR/mēn.</a:t>
            </a:r>
          </a:p>
        </c:rich>
      </c:tx>
      <c:layout>
        <c:manualLayout>
          <c:xMode val="edge"/>
          <c:yMode val="edge"/>
          <c:x val="0.29721494872312559"/>
          <c:y val="1.1235727513756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8058760328847"/>
          <c:y val="7.7887758412220939E-2"/>
          <c:w val="0.71118936244713993"/>
          <c:h val="0.66891456545459904"/>
        </c:manualLayout>
      </c:layout>
      <c:lineChart>
        <c:grouping val="standard"/>
        <c:varyColors val="0"/>
        <c:ser>
          <c:idx val="0"/>
          <c:order val="0"/>
          <c:tx>
            <c:strRef>
              <c:f>ienemumi!$C$2</c:f>
              <c:strCache>
                <c:ptCount val="1"/>
                <c:pt idx="0">
                  <c:v>Latvija, vidējā apdrošināšanas iemaksu alga ,EUR/mēn.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ienemumi!$A$3:$A$26</c:f>
              <c:numCache>
                <c:formatCode>General</c:formatCod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ienemumi!$C$3:$C$26</c:f>
              <c:numCache>
                <c:formatCode>0</c:formatCode>
                <c:ptCount val="12"/>
                <c:pt idx="0">
                  <c:v>128.05846295695528</c:v>
                </c:pt>
                <c:pt idx="1">
                  <c:v>213.43077159492549</c:v>
                </c:pt>
                <c:pt idx="2">
                  <c:v>350.02646541567776</c:v>
                </c:pt>
                <c:pt idx="3">
                  <c:v>573.41733968503308</c:v>
                </c:pt>
                <c:pt idx="4" formatCode="General">
                  <c:v>693</c:v>
                </c:pt>
                <c:pt idx="5" formatCode="General">
                  <c:v>743</c:v>
                </c:pt>
                <c:pt idx="6" formatCode="General">
                  <c:v>813</c:v>
                </c:pt>
                <c:pt idx="7" formatCode="General">
                  <c:v>887</c:v>
                </c:pt>
                <c:pt idx="8" formatCode="General">
                  <c:v>953</c:v>
                </c:pt>
                <c:pt idx="9" formatCode="General">
                  <c:v>989</c:v>
                </c:pt>
                <c:pt idx="10" formatCode="General">
                  <c:v>1128</c:v>
                </c:pt>
                <c:pt idx="11" formatCode="General">
                  <c:v>1275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A37-40A8-9CAF-31DD9B84B30B}"/>
            </c:ext>
          </c:extLst>
        </c:ser>
        <c:ser>
          <c:idx val="1"/>
          <c:order val="1"/>
          <c:tx>
            <c:strRef>
              <c:f>ienemumi!$D$2</c:f>
              <c:strCache>
                <c:ptCount val="1"/>
                <c:pt idx="0">
                  <c:v>Liepāja, vidējā apdrošināšanas iemaksu alga, EUR/mēn.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ienemumi!$A$3:$A$26</c:f>
              <c:numCache>
                <c:formatCode>General</c:formatCod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ienemumi!$D$3:$D$26</c:f>
              <c:numCache>
                <c:formatCode>0</c:formatCode>
                <c:ptCount val="12"/>
                <c:pt idx="0">
                  <c:v>123.78984752505677</c:v>
                </c:pt>
                <c:pt idx="1">
                  <c:v>190.66482262480008</c:v>
                </c:pt>
                <c:pt idx="2">
                  <c:v>292.62781657474915</c:v>
                </c:pt>
                <c:pt idx="3">
                  <c:v>522.19395450225102</c:v>
                </c:pt>
                <c:pt idx="4" formatCode="General">
                  <c:v>624</c:v>
                </c:pt>
                <c:pt idx="5" formatCode="General">
                  <c:v>660</c:v>
                </c:pt>
                <c:pt idx="6" formatCode="General">
                  <c:v>719</c:v>
                </c:pt>
                <c:pt idx="7" formatCode="General">
                  <c:v>776</c:v>
                </c:pt>
                <c:pt idx="8" formatCode="General">
                  <c:v>830</c:v>
                </c:pt>
                <c:pt idx="9" formatCode="General">
                  <c:v>867</c:v>
                </c:pt>
                <c:pt idx="10" formatCode="General">
                  <c:v>982</c:v>
                </c:pt>
                <c:pt idx="11" formatCode="General">
                  <c:v>1103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A37-40A8-9CAF-31DD9B84B30B}"/>
            </c:ext>
          </c:extLst>
        </c:ser>
        <c:ser>
          <c:idx val="2"/>
          <c:order val="2"/>
          <c:tx>
            <c:strRef>
              <c:f>ienemumi!$E$2</c:f>
              <c:strCache>
                <c:ptCount val="1"/>
                <c:pt idx="0">
                  <c:v>Liepāja, vidējā izmaksātā vecuma pensija, EUR/mēn.</c:v>
                </c:pt>
              </c:strCache>
            </c:strRef>
          </c:tx>
          <c:spPr>
            <a:ln w="127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ienemumi!$A$3:$A$26</c:f>
              <c:numCache>
                <c:formatCode>General</c:formatCod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ienemumi!$E$3:$E$26</c:f>
              <c:numCache>
                <c:formatCode>0</c:formatCode>
                <c:ptCount val="12"/>
                <c:pt idx="2">
                  <c:v>116.26285564680906</c:v>
                </c:pt>
                <c:pt idx="3">
                  <c:v>258.96266953517625</c:v>
                </c:pt>
                <c:pt idx="4">
                  <c:v>274.97000000000003</c:v>
                </c:pt>
                <c:pt idx="5" formatCode="General">
                  <c:v>281</c:v>
                </c:pt>
                <c:pt idx="6" formatCode="General">
                  <c:v>290</c:v>
                </c:pt>
                <c:pt idx="7">
                  <c:v>314.42</c:v>
                </c:pt>
                <c:pt idx="8" formatCode="General">
                  <c:v>341</c:v>
                </c:pt>
                <c:pt idx="9" formatCode="General">
                  <c:v>368</c:v>
                </c:pt>
                <c:pt idx="10" formatCode="General">
                  <c:v>392</c:v>
                </c:pt>
                <c:pt idx="11" formatCode="General">
                  <c:v>450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A37-40A8-9CAF-31DD9B84B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7016768"/>
        <c:axId val="-507019488"/>
      </c:lineChart>
      <c:catAx>
        <c:axId val="-5070167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507019488"/>
        <c:crosses val="autoZero"/>
        <c:auto val="1"/>
        <c:lblAlgn val="ctr"/>
        <c:lblOffset val="100"/>
        <c:tickMarkSkip val="1"/>
        <c:noMultiLvlLbl val="0"/>
      </c:catAx>
      <c:valAx>
        <c:axId val="-507019488"/>
        <c:scaling>
          <c:orientation val="minMax"/>
          <c:max val="1400"/>
          <c:min val="6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-507016768"/>
        <c:crosses val="autoZero"/>
        <c:crossBetween val="between"/>
        <c:majorUnit val="134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>
                <a:solidFill>
                  <a:schemeClr val="tx1"/>
                </a:solidFill>
              </a:rPr>
              <a:t>Vidējā apdrošināšanas iemaksu alga un mēneša vidējā bruto darba samaksa Liepājā , EUR/mēn.</a:t>
            </a:r>
          </a:p>
        </c:rich>
      </c:tx>
      <c:layout>
        <c:manualLayout>
          <c:xMode val="edge"/>
          <c:yMode val="edge"/>
          <c:x val="0.32926376784504313"/>
          <c:y val="1.463355542095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681628075422321"/>
          <c:y val="0.10340965999939661"/>
          <c:w val="0.65137206368566114"/>
          <c:h val="0.63961233294114095"/>
        </c:manualLayout>
      </c:layout>
      <c:lineChart>
        <c:grouping val="standard"/>
        <c:varyColors val="0"/>
        <c:ser>
          <c:idx val="0"/>
          <c:order val="0"/>
          <c:tx>
            <c:strRef>
              <c:f>ienemumi!$B$35</c:f>
              <c:strCache>
                <c:ptCount val="1"/>
                <c:pt idx="0">
                  <c:v>Vidējā apdrošināšanas iemaksu alga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  <a:effectLst/>
          </c:spPr>
          <c:marker>
            <c:symbol val="circ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ienemumi!$A$38:$A$55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ienemumi!$B$38:$B$55</c:f>
              <c:numCache>
                <c:formatCode>0</c:formatCode>
                <c:ptCount val="10"/>
                <c:pt idx="0">
                  <c:v>292.62781657474915</c:v>
                </c:pt>
                <c:pt idx="1">
                  <c:v>522.19395450225102</c:v>
                </c:pt>
                <c:pt idx="2" formatCode="General">
                  <c:v>624</c:v>
                </c:pt>
                <c:pt idx="3" formatCode="General">
                  <c:v>660</c:v>
                </c:pt>
                <c:pt idx="4" formatCode="General">
                  <c:v>719</c:v>
                </c:pt>
                <c:pt idx="5" formatCode="General">
                  <c:v>776</c:v>
                </c:pt>
                <c:pt idx="6" formatCode="General">
                  <c:v>830</c:v>
                </c:pt>
                <c:pt idx="7" formatCode="General">
                  <c:v>867</c:v>
                </c:pt>
                <c:pt idx="8" formatCode="General">
                  <c:v>982</c:v>
                </c:pt>
                <c:pt idx="9" formatCode="General">
                  <c:v>1103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407-4571-B96A-8D90DAD0B288}"/>
            </c:ext>
          </c:extLst>
        </c:ser>
        <c:ser>
          <c:idx val="1"/>
          <c:order val="1"/>
          <c:tx>
            <c:strRef>
              <c:f>ienemumi!$C$35</c:f>
              <c:strCache>
                <c:ptCount val="1"/>
                <c:pt idx="0">
                  <c:v>Vidējā bruto darba samaksa sabiedriskajā sektorā,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  <a:effectLst/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ienemumi!$A$38:$A$55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ienemumi!$C$38:$C$55</c:f>
              <c:numCache>
                <c:formatCode>0</c:formatCode>
                <c:ptCount val="10"/>
                <c:pt idx="0">
                  <c:v>351.4493372263106</c:v>
                </c:pt>
                <c:pt idx="1">
                  <c:v>570.5715960637674</c:v>
                </c:pt>
                <c:pt idx="2" formatCode="General">
                  <c:v>725</c:v>
                </c:pt>
                <c:pt idx="3" formatCode="General">
                  <c:v>760</c:v>
                </c:pt>
                <c:pt idx="4" formatCode="General">
                  <c:v>823</c:v>
                </c:pt>
                <c:pt idx="5" formatCode="General">
                  <c:v>873</c:v>
                </c:pt>
                <c:pt idx="6" formatCode="General">
                  <c:v>939</c:v>
                </c:pt>
                <c:pt idx="7" formatCode="General">
                  <c:v>1038</c:v>
                </c:pt>
                <c:pt idx="8" formatCode="General">
                  <c:v>1152</c:v>
                </c:pt>
                <c:pt idx="9" formatCode="General">
                  <c:v>1221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407-4571-B96A-8D90DAD0B288}"/>
            </c:ext>
          </c:extLst>
        </c:ser>
        <c:ser>
          <c:idx val="2"/>
          <c:order val="2"/>
          <c:tx>
            <c:strRef>
              <c:f>ienemumi!$D$35</c:f>
              <c:strCache>
                <c:ptCount val="1"/>
                <c:pt idx="0">
                  <c:v>Vidējā bruto darba samaksa privātajā sektorā (ar nodarbināto skaitu virs 50)</c:v>
                </c:pt>
              </c:strCache>
            </c:strRef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ienemumi!$A$38:$A$55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ienemumi!$D$38:$D$55</c:f>
              <c:numCache>
                <c:formatCode>0</c:formatCode>
                <c:ptCount val="10"/>
                <c:pt idx="1">
                  <c:v>645.98380202730777</c:v>
                </c:pt>
                <c:pt idx="2" formatCode="General">
                  <c:v>890</c:v>
                </c:pt>
                <c:pt idx="3" formatCode="General">
                  <c:v>946</c:v>
                </c:pt>
                <c:pt idx="4" formatCode="General">
                  <c:v>977</c:v>
                </c:pt>
                <c:pt idx="5" formatCode="General">
                  <c:v>1073</c:v>
                </c:pt>
                <c:pt idx="6" formatCode="General">
                  <c:v>1158</c:v>
                </c:pt>
                <c:pt idx="7" formatCode="General">
                  <c:v>1245</c:v>
                </c:pt>
                <c:pt idx="8" formatCode="General">
                  <c:v>1389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407-4571-B96A-8D90DAD0B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7022208"/>
        <c:axId val="-507018400"/>
      </c:lineChart>
      <c:catAx>
        <c:axId val="-5070222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507018400"/>
        <c:crosses val="autoZero"/>
        <c:auto val="1"/>
        <c:lblAlgn val="ctr"/>
        <c:lblOffset val="100"/>
        <c:tickMarkSkip val="1"/>
        <c:noMultiLvlLbl val="0"/>
      </c:catAx>
      <c:valAx>
        <c:axId val="-507018400"/>
        <c:scaling>
          <c:orientation val="minMax"/>
          <c:max val="1500"/>
          <c:min val="1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-507022208"/>
        <c:crosses val="autoZero"/>
        <c:crossBetween val="between"/>
        <c:majorUnit val="14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>
                <a:solidFill>
                  <a:schemeClr val="tx1"/>
                </a:solidFill>
              </a:rPr>
              <a:t>Patēriņa cenu un Liepājā strādājošo vidējās apdrošināšanas iemaksu algas dinamika 
(% pret 2005.g.)</a:t>
            </a:r>
          </a:p>
        </c:rich>
      </c:tx>
      <c:layout>
        <c:manualLayout>
          <c:xMode val="edge"/>
          <c:yMode val="edge"/>
          <c:x val="0.30450667401983311"/>
          <c:y val="1.07296137339055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376195366883487"/>
          <c:y val="0.11588005361990694"/>
          <c:w val="0.65716627347651579"/>
          <c:h val="0.70386339846201729"/>
        </c:manualLayout>
      </c:layout>
      <c:lineChart>
        <c:grouping val="standard"/>
        <c:varyColors val="0"/>
        <c:ser>
          <c:idx val="0"/>
          <c:order val="0"/>
          <c:tx>
            <c:strRef>
              <c:f>ienemumi!$B$103</c:f>
              <c:strCache>
                <c:ptCount val="1"/>
                <c:pt idx="0">
                  <c:v>patēriņa cenas, %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ienemumi!$A$104:$A$121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ienemumi!$B$104:$B$121</c:f>
              <c:numCache>
                <c:formatCode>General</c:formatCode>
                <c:ptCount val="10"/>
                <c:pt idx="0">
                  <c:v>100</c:v>
                </c:pt>
                <c:pt idx="1">
                  <c:v>139</c:v>
                </c:pt>
                <c:pt idx="2" formatCode="0">
                  <c:v>149.1</c:v>
                </c:pt>
                <c:pt idx="3" formatCode="0">
                  <c:v>149.30000000000001</c:v>
                </c:pt>
                <c:pt idx="4">
                  <c:v>154</c:v>
                </c:pt>
                <c:pt idx="5" formatCode="0">
                  <c:v>157.6</c:v>
                </c:pt>
                <c:pt idx="6">
                  <c:v>162</c:v>
                </c:pt>
                <c:pt idx="7" formatCode="0">
                  <c:v>162.30000000000001</c:v>
                </c:pt>
                <c:pt idx="8">
                  <c:v>168</c:v>
                </c:pt>
                <c:pt idx="9">
                  <c:v>197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1A8-480C-BBF1-C43F6F4948B8}"/>
            </c:ext>
          </c:extLst>
        </c:ser>
        <c:ser>
          <c:idx val="1"/>
          <c:order val="1"/>
          <c:tx>
            <c:strRef>
              <c:f>ienemumi!$C$103</c:f>
              <c:strCache>
                <c:ptCount val="1"/>
                <c:pt idx="0">
                  <c:v>Liepājā strādājošo mēneša vidējā bruto darba samaksa, %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ienemumi!$A$104:$A$121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ienemumi!$C$104:$C$121</c:f>
              <c:numCache>
                <c:formatCode>General</c:formatCode>
                <c:ptCount val="10"/>
                <c:pt idx="0">
                  <c:v>100</c:v>
                </c:pt>
                <c:pt idx="1">
                  <c:v>178</c:v>
                </c:pt>
                <c:pt idx="2">
                  <c:v>213</c:v>
                </c:pt>
                <c:pt idx="3">
                  <c:v>225</c:v>
                </c:pt>
                <c:pt idx="4">
                  <c:v>245</c:v>
                </c:pt>
                <c:pt idx="5">
                  <c:v>265</c:v>
                </c:pt>
                <c:pt idx="6">
                  <c:v>284</c:v>
                </c:pt>
                <c:pt idx="7" formatCode="0">
                  <c:v>296.39999999999998</c:v>
                </c:pt>
                <c:pt idx="8">
                  <c:v>336</c:v>
                </c:pt>
                <c:pt idx="9">
                  <c:v>377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1A8-480C-BBF1-C43F6F494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7021120"/>
        <c:axId val="-507020576"/>
      </c:lineChart>
      <c:catAx>
        <c:axId val="-5070211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507020576"/>
        <c:crosses val="autoZero"/>
        <c:auto val="1"/>
        <c:lblAlgn val="ctr"/>
        <c:lblOffset val="100"/>
        <c:tickMarkSkip val="1"/>
        <c:noMultiLvlLbl val="0"/>
      </c:catAx>
      <c:valAx>
        <c:axId val="-507020576"/>
        <c:scaling>
          <c:orientation val="minMax"/>
          <c:max val="400"/>
          <c:min val="1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507021120"/>
        <c:crosses val="autoZero"/>
        <c:crossBetween val="between"/>
        <c:majorUnit val="3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>
                <a:solidFill>
                  <a:schemeClr val="tx1"/>
                </a:solidFill>
              </a:rPr>
              <a:t>Mēneša vidējā bruto darba samaksa sabiedriskajā sektorā, EUR/mēn.</a:t>
            </a:r>
          </a:p>
        </c:rich>
      </c:tx>
      <c:layout>
        <c:manualLayout>
          <c:xMode val="edge"/>
          <c:yMode val="edge"/>
          <c:x val="0.28206782975657457"/>
          <c:y val="1.63637103501597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33225258607379"/>
          <c:y val="7.9099912703003927E-2"/>
          <c:w val="0.86904354904354897"/>
          <c:h val="0.517773399531955"/>
        </c:manualLayout>
      </c:layout>
      <c:lineChart>
        <c:grouping val="standard"/>
        <c:varyColors val="0"/>
        <c:ser>
          <c:idx val="0"/>
          <c:order val="0"/>
          <c:tx>
            <c:strRef>
              <c:f>ienemumi!$B$295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424242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cat>
            <c:strRef>
              <c:f>ienemumi!$A$296:$A$317</c:f>
              <c:strCache>
                <c:ptCount val="11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ienemumi!$B$296:$B$317</c:f>
              <c:numCache>
                <c:formatCode>#\ ##0_ ;[Red]\-#\ ##0\ </c:formatCode>
                <c:ptCount val="11"/>
                <c:pt idx="0">
                  <c:v>256.08846847769792</c:v>
                </c:pt>
                <c:pt idx="1">
                  <c:v>405.51846603035841</c:v>
                </c:pt>
                <c:pt idx="2" formatCode="0">
                  <c:v>668.74975099743313</c:v>
                </c:pt>
                <c:pt idx="3" formatCode="General">
                  <c:v>855</c:v>
                </c:pt>
                <c:pt idx="4" formatCode="General">
                  <c:v>887</c:v>
                </c:pt>
                <c:pt idx="5" formatCode="General">
                  <c:v>951</c:v>
                </c:pt>
                <c:pt idx="6" formatCode="General">
                  <c:v>1032</c:v>
                </c:pt>
                <c:pt idx="7" formatCode="General">
                  <c:v>1103</c:v>
                </c:pt>
                <c:pt idx="8" formatCode="General">
                  <c:v>1156</c:v>
                </c:pt>
                <c:pt idx="9" formatCode="General">
                  <c:v>1293</c:v>
                </c:pt>
                <c:pt idx="10">
                  <c:v>1373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E1E-4111-B44C-D1EB6AAB765D}"/>
            </c:ext>
          </c:extLst>
        </c:ser>
        <c:ser>
          <c:idx val="1"/>
          <c:order val="1"/>
          <c:tx>
            <c:strRef>
              <c:f>ienemumi!$C$295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ienemumi!$A$296:$A$317</c:f>
              <c:strCache>
                <c:ptCount val="11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ienemumi!$C$296:$C$317</c:f>
              <c:numCache>
                <c:formatCode>#\ ##0_ ;[Red]\-#\ ##0\ </c:formatCode>
                <c:ptCount val="11"/>
                <c:pt idx="0">
                  <c:v>300.76664333156896</c:v>
                </c:pt>
                <c:pt idx="1">
                  <c:v>473.81631294073458</c:v>
                </c:pt>
                <c:pt idx="2" formatCode="0">
                  <c:v>782.57949584806011</c:v>
                </c:pt>
                <c:pt idx="3" formatCode="General">
                  <c:v>996</c:v>
                </c:pt>
                <c:pt idx="4" formatCode="General">
                  <c:v>1029</c:v>
                </c:pt>
                <c:pt idx="5" formatCode="General">
                  <c:v>1102</c:v>
                </c:pt>
                <c:pt idx="6" formatCode="General">
                  <c:v>1204</c:v>
                </c:pt>
                <c:pt idx="7" formatCode="0">
                  <c:v>1287.5</c:v>
                </c:pt>
                <c:pt idx="8" formatCode="General">
                  <c:v>1351</c:v>
                </c:pt>
                <c:pt idx="9" formatCode="General">
                  <c:v>1510</c:v>
                </c:pt>
                <c:pt idx="10">
                  <c:v>1594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E1E-4111-B44C-D1EB6AAB765D}"/>
            </c:ext>
          </c:extLst>
        </c:ser>
        <c:ser>
          <c:idx val="2"/>
          <c:order val="2"/>
          <c:tx>
            <c:strRef>
              <c:f>ienemumi!$D$295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ienemumi!$A$296:$A$317</c:f>
              <c:strCache>
                <c:ptCount val="11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ienemumi!$D$296:$D$317</c:f>
              <c:numCache>
                <c:formatCode>#\ ##0_ ;[Red]\-#\ ##0\ </c:formatCode>
                <c:ptCount val="11"/>
                <c:pt idx="0">
                  <c:v>194.29314574191383</c:v>
                </c:pt>
                <c:pt idx="1">
                  <c:v>325.83764463491957</c:v>
                </c:pt>
                <c:pt idx="2" formatCode="0">
                  <c:v>510.81098001718829</c:v>
                </c:pt>
                <c:pt idx="3" formatCode="General">
                  <c:v>630</c:v>
                </c:pt>
                <c:pt idx="4" formatCode="General">
                  <c:v>647</c:v>
                </c:pt>
                <c:pt idx="5" formatCode="General">
                  <c:v>691</c:v>
                </c:pt>
                <c:pt idx="6" formatCode="General">
                  <c:v>771</c:v>
                </c:pt>
                <c:pt idx="7" formatCode="0">
                  <c:v>838.5</c:v>
                </c:pt>
                <c:pt idx="8" formatCode="General">
                  <c:v>914</c:v>
                </c:pt>
                <c:pt idx="9" formatCode="General">
                  <c:v>1066</c:v>
                </c:pt>
                <c:pt idx="10">
                  <c:v>1130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E1E-4111-B44C-D1EB6AAB765D}"/>
            </c:ext>
          </c:extLst>
        </c:ser>
        <c:ser>
          <c:idx val="3"/>
          <c:order val="3"/>
          <c:tx>
            <c:strRef>
              <c:f>ienemumi!$E$295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9966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cat>
            <c:strRef>
              <c:f>ienemumi!$A$296:$A$317</c:f>
              <c:strCache>
                <c:ptCount val="11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ienemumi!$E$296:$E$317</c:f>
              <c:numCache>
                <c:formatCode>#\ ##0_ ;[Red]\-#\ ##0\ </c:formatCode>
                <c:ptCount val="11"/>
                <c:pt idx="0">
                  <c:v>232.25536564959788</c:v>
                </c:pt>
                <c:pt idx="1">
                  <c:v>368.52379895390465</c:v>
                </c:pt>
                <c:pt idx="2" formatCode="0">
                  <c:v>557.76574976807194</c:v>
                </c:pt>
                <c:pt idx="3" formatCode="General">
                  <c:v>676</c:v>
                </c:pt>
                <c:pt idx="4" formatCode="General">
                  <c:v>726</c:v>
                </c:pt>
                <c:pt idx="5" formatCode="General">
                  <c:v>821</c:v>
                </c:pt>
                <c:pt idx="6" formatCode="General">
                  <c:v>914</c:v>
                </c:pt>
                <c:pt idx="7" formatCode="0">
                  <c:v>979.5</c:v>
                </c:pt>
                <c:pt idx="8" formatCode="General">
                  <c:v>1071</c:v>
                </c:pt>
                <c:pt idx="9" formatCode="General">
                  <c:v>1218</c:v>
                </c:pt>
                <c:pt idx="10">
                  <c:v>1250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E1E-4111-B44C-D1EB6AAB765D}"/>
            </c:ext>
          </c:extLst>
        </c:ser>
        <c:ser>
          <c:idx val="8"/>
          <c:order val="4"/>
          <c:tx>
            <c:strRef>
              <c:f>ienemumi!$F$295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ienemumi!$A$296:$A$317</c:f>
              <c:strCache>
                <c:ptCount val="11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ienemumi!$F$296:$F$317</c:f>
              <c:numCache>
                <c:formatCode>General</c:formatCode>
                <c:ptCount val="11"/>
                <c:pt idx="3">
                  <c:v>730</c:v>
                </c:pt>
                <c:pt idx="4">
                  <c:v>773</c:v>
                </c:pt>
                <c:pt idx="5">
                  <c:v>844</c:v>
                </c:pt>
                <c:pt idx="6">
                  <c:v>890</c:v>
                </c:pt>
                <c:pt idx="7" formatCode="0">
                  <c:v>951.5</c:v>
                </c:pt>
                <c:pt idx="8">
                  <c:v>979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CE1E-4111-B44C-D1EB6AAB765D}"/>
            </c:ext>
          </c:extLst>
        </c:ser>
        <c:ser>
          <c:idx val="4"/>
          <c:order val="5"/>
          <c:tx>
            <c:strRef>
              <c:f>ienemumi!$G$295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66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</c:spPr>
          </c:marker>
          <c:cat>
            <c:strRef>
              <c:f>ienemumi!$A$296:$A$317</c:f>
              <c:strCache>
                <c:ptCount val="11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ienemumi!$G$296:$G$317</c:f>
              <c:numCache>
                <c:formatCode>#\ ##0_ ;[Red]\-#\ ##0\ </c:formatCode>
                <c:ptCount val="11"/>
                <c:pt idx="0">
                  <c:v>226.42159122600327</c:v>
                </c:pt>
                <c:pt idx="1">
                  <c:v>340.06636274124793</c:v>
                </c:pt>
                <c:pt idx="2" formatCode="0">
                  <c:v>537.84554441921216</c:v>
                </c:pt>
                <c:pt idx="3" formatCode="General">
                  <c:v>778</c:v>
                </c:pt>
                <c:pt idx="4" formatCode="General">
                  <c:v>809</c:v>
                </c:pt>
                <c:pt idx="5" formatCode="General">
                  <c:v>856</c:v>
                </c:pt>
                <c:pt idx="6" formatCode="General">
                  <c:v>933</c:v>
                </c:pt>
                <c:pt idx="7" formatCode="0">
                  <c:v>982.75</c:v>
                </c:pt>
                <c:pt idx="8" formatCode="General">
                  <c:v>1037</c:v>
                </c:pt>
                <c:pt idx="9" formatCode="General">
                  <c:v>1177</c:v>
                </c:pt>
                <c:pt idx="10">
                  <c:v>1207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CE1E-4111-B44C-D1EB6AAB765D}"/>
            </c:ext>
          </c:extLst>
        </c:ser>
        <c:ser>
          <c:idx val="5"/>
          <c:order val="6"/>
          <c:tx>
            <c:strRef>
              <c:f>ienemumi!$H$295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ienemumi!$A$296:$A$317</c:f>
              <c:strCache>
                <c:ptCount val="11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ienemumi!$H$296:$H$317</c:f>
              <c:numCache>
                <c:formatCode>#\ ##0_ ;[Red]\-#\ ##0\ </c:formatCode>
                <c:ptCount val="11"/>
                <c:pt idx="0">
                  <c:v>211.06880438927496</c:v>
                </c:pt>
                <c:pt idx="1">
                  <c:v>351.4493372263106</c:v>
                </c:pt>
                <c:pt idx="2" formatCode="0">
                  <c:v>570.5715960637674</c:v>
                </c:pt>
                <c:pt idx="3" formatCode="General">
                  <c:v>725</c:v>
                </c:pt>
                <c:pt idx="4" formatCode="General">
                  <c:v>760</c:v>
                </c:pt>
                <c:pt idx="5" formatCode="General">
                  <c:v>823</c:v>
                </c:pt>
                <c:pt idx="6" formatCode="General">
                  <c:v>873</c:v>
                </c:pt>
                <c:pt idx="7" formatCode="0">
                  <c:v>939.25</c:v>
                </c:pt>
                <c:pt idx="8" formatCode="General">
                  <c:v>1038</c:v>
                </c:pt>
                <c:pt idx="9" formatCode="General">
                  <c:v>1152</c:v>
                </c:pt>
                <c:pt idx="10">
                  <c:v>1221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CE1E-4111-B44C-D1EB6AAB765D}"/>
            </c:ext>
          </c:extLst>
        </c:ser>
        <c:ser>
          <c:idx val="6"/>
          <c:order val="7"/>
          <c:tx>
            <c:strRef>
              <c:f>ienemumi!$I$295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CC9CCC"/>
              </a:solidFill>
              <a:ln>
                <a:solidFill>
                  <a:srgbClr val="CC9CCC"/>
                </a:solidFill>
                <a:prstDash val="solid"/>
              </a:ln>
            </c:spPr>
          </c:marker>
          <c:cat>
            <c:strRef>
              <c:f>ienemumi!$A$296:$A$317</c:f>
              <c:strCache>
                <c:ptCount val="11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ienemumi!$I$296:$I$317</c:f>
              <c:numCache>
                <c:formatCode>#\ ##0_ ;[Red]\-#\ ##0\ </c:formatCode>
                <c:ptCount val="11"/>
                <c:pt idx="0">
                  <c:v>202.71654686086021</c:v>
                </c:pt>
                <c:pt idx="1">
                  <c:v>337.22061911998225</c:v>
                </c:pt>
                <c:pt idx="2">
                  <c:v>515.07959544908681</c:v>
                </c:pt>
                <c:pt idx="3" formatCode="General">
                  <c:v>638</c:v>
                </c:pt>
                <c:pt idx="4" formatCode="General">
                  <c:v>682</c:v>
                </c:pt>
                <c:pt idx="5" formatCode="General">
                  <c:v>738</c:v>
                </c:pt>
                <c:pt idx="6" formatCode="General">
                  <c:v>794</c:v>
                </c:pt>
                <c:pt idx="7" formatCode="0">
                  <c:v>865.75</c:v>
                </c:pt>
                <c:pt idx="8" formatCode="General">
                  <c:v>882</c:v>
                </c:pt>
                <c:pt idx="9" formatCode="General">
                  <c:v>1012</c:v>
                </c:pt>
                <c:pt idx="10">
                  <c:v>1083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CE1E-4111-B44C-D1EB6AAB765D}"/>
            </c:ext>
          </c:extLst>
        </c:ser>
        <c:ser>
          <c:idx val="9"/>
          <c:order val="8"/>
          <c:tx>
            <c:strRef>
              <c:f>ienemumi!$J$295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ienemumi!$A$296:$A$317</c:f>
              <c:strCache>
                <c:ptCount val="11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ienemumi!$J$296:$J$317</c:f>
              <c:numCache>
                <c:formatCode>General</c:formatCode>
                <c:ptCount val="11"/>
                <c:pt idx="3">
                  <c:v>686</c:v>
                </c:pt>
                <c:pt idx="4">
                  <c:v>730</c:v>
                </c:pt>
                <c:pt idx="5">
                  <c:v>798</c:v>
                </c:pt>
                <c:pt idx="6">
                  <c:v>862</c:v>
                </c:pt>
                <c:pt idx="7" formatCode="0">
                  <c:v>936.25</c:v>
                </c:pt>
                <c:pt idx="8">
                  <c:v>1032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CE1E-4111-B44C-D1EB6AAB765D}"/>
            </c:ext>
          </c:extLst>
        </c:ser>
        <c:ser>
          <c:idx val="7"/>
          <c:order val="9"/>
          <c:tx>
            <c:strRef>
              <c:f>ienemumi!$K$295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ienemumi!$A$296:$A$317</c:f>
              <c:strCache>
                <c:ptCount val="11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ienemumi!$K$296:$K$317</c:f>
              <c:numCache>
                <c:formatCode>#\ ##0_ ;[Red]\-#\ ##0\ </c:formatCode>
                <c:ptCount val="11"/>
                <c:pt idx="0">
                  <c:v>380.5328370356458</c:v>
                </c:pt>
                <c:pt idx="1">
                  <c:v>402.67272240909273</c:v>
                </c:pt>
                <c:pt idx="2">
                  <c:v>636.02369935287788</c:v>
                </c:pt>
                <c:pt idx="3" formatCode="General">
                  <c:v>831</c:v>
                </c:pt>
                <c:pt idx="4" formatCode="General">
                  <c:v>855</c:v>
                </c:pt>
                <c:pt idx="5" formatCode="General">
                  <c:v>907</c:v>
                </c:pt>
                <c:pt idx="6" formatCode="General">
                  <c:v>983</c:v>
                </c:pt>
                <c:pt idx="7" formatCode="0">
                  <c:v>1048.25</c:v>
                </c:pt>
                <c:pt idx="8" formatCode="General">
                  <c:v>1076</c:v>
                </c:pt>
                <c:pt idx="9" formatCode="General">
                  <c:v>1252</c:v>
                </c:pt>
                <c:pt idx="10">
                  <c:v>1319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CE1E-4111-B44C-D1EB6AAB7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2351104"/>
        <c:axId val="-412350560"/>
      </c:lineChart>
      <c:catAx>
        <c:axId val="-4123511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1235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2350560"/>
        <c:scaling>
          <c:orientation val="minMax"/>
          <c:max val="1650"/>
          <c:min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_ ;[Red]\-#\ ##0\ 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>
                    <a:lumMod val="8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lv-LV"/>
          </a:p>
        </c:txPr>
        <c:crossAx val="-412351104"/>
        <c:crosses val="autoZero"/>
        <c:crossBetween val="between"/>
        <c:majorUnit val="1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pārmaiņas sadalījumā pa nozarēm 2004.gadā (% pret 2003.gadu)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"/>
      <c:hPercent val="500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339933">
                    <a:gamma/>
                    <a:tint val="45490"/>
                    <a:invGamma/>
                  </a:srgbClr>
                </a:gs>
                <a:gs pos="100000">
                  <a:srgbClr val="339933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C72-43A7-88E9-B61FB674A0C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C72-43A7-88E9-B61FB674A0C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C72-43A7-88E9-B61FB674A0C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C72-43A7-88E9-B61FB674A0C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C72-43A7-88E9-B61FB674A0C1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C72-43A7-88E9-B61FB674A0C1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C72-43A7-88E9-B61FB674A0C1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C72-43A7-88E9-B61FB674A0C1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C72-43A7-88E9-B61FB674A0C1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C72-43A7-88E9-B61FB674A0C1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2C72-43A7-88E9-B61FB674A0C1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C72-43A7-88E9-B61FB674A0C1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2C72-43A7-88E9-B61FB674A0C1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2C72-43A7-88E9-B61FB674A0C1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2C72-43A7-88E9-B61FB674A0C1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2C72-43A7-88E9-B61FB674A0C1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2C72-43A7-88E9-B61FB674A0C1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2C72-43A7-88E9-B61FB674A0C1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2C72-43A7-88E9-B61FB674A0C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3-2C72-43A7-88E9-B61FB674A0C1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336666">
                    <a:gamma/>
                    <a:tint val="48627"/>
                    <a:invGamma/>
                  </a:srgbClr>
                </a:gs>
                <a:gs pos="100000">
                  <a:srgbClr val="336666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2C72-43A7-88E9-B61FB674A0C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2C72-43A7-88E9-B61FB674A0C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2C72-43A7-88E9-B61FB674A0C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2C72-43A7-88E9-B61FB674A0C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2C72-43A7-88E9-B61FB674A0C1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2C72-43A7-88E9-B61FB674A0C1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2C72-43A7-88E9-B61FB674A0C1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2C72-43A7-88E9-B61FB674A0C1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2C72-43A7-88E9-B61FB674A0C1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2C72-43A7-88E9-B61FB674A0C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E-2C72-43A7-88E9-B61FB674A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41777488"/>
        <c:axId val="-341776944"/>
        <c:axId val="0"/>
      </c:bar3DChart>
      <c:catAx>
        <c:axId val="-34177748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177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41776944"/>
        <c:scaling>
          <c:orientation val="minMax"/>
          <c:max val="74"/>
          <c:min val="-12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17774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666699"/>
              </a:solidFill>
              <a:latin typeface="Times New Roman"/>
              <a:ea typeface="Times New Roman"/>
              <a:cs typeface="Times New Roman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>
                <a:solidFill>
                  <a:schemeClr val="tx1"/>
                </a:solidFill>
              </a:rPr>
              <a:t>Mēneša vidējā darba samaksa privātajā sektorā (EUR/mēn)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50038006096866"/>
          <c:y val="9.4235865920137066E-2"/>
          <c:w val="0.8803530814781616"/>
          <c:h val="0.54131922628842377"/>
        </c:manualLayout>
      </c:layout>
      <c:lineChart>
        <c:grouping val="standard"/>
        <c:varyColors val="0"/>
        <c:ser>
          <c:idx val="0"/>
          <c:order val="0"/>
          <c:tx>
            <c:strRef>
              <c:f>ienemumi!$B$338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</c:spPr>
          </c:marker>
          <c:cat>
            <c:numRef>
              <c:f>ienemumi!$A$339:$A$353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ienemumi!$B$339:$B$353</c:f>
              <c:numCache>
                <c:formatCode>General</c:formatCode>
                <c:ptCount val="11"/>
                <c:pt idx="0">
                  <c:v>647</c:v>
                </c:pt>
                <c:pt idx="1">
                  <c:v>768</c:v>
                </c:pt>
                <c:pt idx="2">
                  <c:v>721</c:v>
                </c:pt>
                <c:pt idx="3">
                  <c:v>711</c:v>
                </c:pt>
                <c:pt idx="4">
                  <c:v>916</c:v>
                </c:pt>
                <c:pt idx="5">
                  <c:v>973</c:v>
                </c:pt>
                <c:pt idx="6">
                  <c:v>1051</c:v>
                </c:pt>
                <c:pt idx="7">
                  <c:v>1128</c:v>
                </c:pt>
                <c:pt idx="8" formatCode="#\ ##0_ ;[Red]\-#\ ##0\ ">
                  <c:v>1207</c:v>
                </c:pt>
                <c:pt idx="9">
                  <c:v>1271</c:v>
                </c:pt>
                <c:pt idx="10">
                  <c:v>1399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D78-40F6-9198-5ADA9F1D7A8F}"/>
            </c:ext>
          </c:extLst>
        </c:ser>
        <c:ser>
          <c:idx val="1"/>
          <c:order val="1"/>
          <c:tx>
            <c:strRef>
              <c:f>ienemumi!$C$338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CC9900"/>
              </a:solidFill>
            </a:ln>
          </c:spPr>
          <c:marker>
            <c:symbol val="circle"/>
            <c:size val="4"/>
            <c:spPr>
              <a:solidFill>
                <a:srgbClr val="CC9900"/>
              </a:solidFill>
              <a:ln>
                <a:solidFill>
                  <a:srgbClr val="CC9900"/>
                </a:solidFill>
              </a:ln>
            </c:spPr>
          </c:marker>
          <c:cat>
            <c:numRef>
              <c:f>ienemumi!$A$339:$A$353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ienemumi!$C$339:$C$353</c:f>
              <c:numCache>
                <c:formatCode>General</c:formatCode>
                <c:ptCount val="11"/>
                <c:pt idx="0">
                  <c:v>727</c:v>
                </c:pt>
                <c:pt idx="1">
                  <c:v>858</c:v>
                </c:pt>
                <c:pt idx="2">
                  <c:v>814</c:v>
                </c:pt>
                <c:pt idx="3">
                  <c:v>795</c:v>
                </c:pt>
                <c:pt idx="4">
                  <c:v>1020</c:v>
                </c:pt>
                <c:pt idx="5">
                  <c:v>1071</c:v>
                </c:pt>
                <c:pt idx="6">
                  <c:v>1154</c:v>
                </c:pt>
                <c:pt idx="7">
                  <c:v>1221</c:v>
                </c:pt>
                <c:pt idx="8" formatCode="#\ ##0_ ;[Red]\-#\ ##0\ ">
                  <c:v>1300</c:v>
                </c:pt>
                <c:pt idx="9">
                  <c:v>1343</c:v>
                </c:pt>
                <c:pt idx="10">
                  <c:v>1457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D78-40F6-9198-5ADA9F1D7A8F}"/>
            </c:ext>
          </c:extLst>
        </c:ser>
        <c:ser>
          <c:idx val="2"/>
          <c:order val="2"/>
          <c:tx>
            <c:strRef>
              <c:f>ienemumi!$D$338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ienemumi!$A$339:$A$353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ienemumi!$D$339:$D$353</c:f>
              <c:numCache>
                <c:formatCode>General</c:formatCode>
                <c:ptCount val="11"/>
                <c:pt idx="0">
                  <c:v>374</c:v>
                </c:pt>
                <c:pt idx="1">
                  <c:v>475</c:v>
                </c:pt>
                <c:pt idx="2">
                  <c:v>434</c:v>
                </c:pt>
                <c:pt idx="3">
                  <c:v>448</c:v>
                </c:pt>
                <c:pt idx="4">
                  <c:v>562</c:v>
                </c:pt>
                <c:pt idx="5">
                  <c:v>608</c:v>
                </c:pt>
                <c:pt idx="6">
                  <c:v>656</c:v>
                </c:pt>
                <c:pt idx="7">
                  <c:v>720</c:v>
                </c:pt>
                <c:pt idx="8" formatCode="#\ ##0_ ;[Red]\-#\ ##0\ ">
                  <c:v>754</c:v>
                </c:pt>
                <c:pt idx="9">
                  <c:v>792</c:v>
                </c:pt>
                <c:pt idx="10">
                  <c:v>955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D78-40F6-9198-5ADA9F1D7A8F}"/>
            </c:ext>
          </c:extLst>
        </c:ser>
        <c:ser>
          <c:idx val="3"/>
          <c:order val="3"/>
          <c:tx>
            <c:strRef>
              <c:f>ienemumi!$E$338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rgbClr val="F79646">
                    <a:lumMod val="50000"/>
                  </a:srgbClr>
                </a:solidFill>
              </a:ln>
            </c:spPr>
          </c:marker>
          <c:cat>
            <c:numRef>
              <c:f>ienemumi!$A$339:$A$353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ienemumi!$E$339:$E$353</c:f>
              <c:numCache>
                <c:formatCode>General</c:formatCode>
                <c:ptCount val="11"/>
                <c:pt idx="0">
                  <c:v>477</c:v>
                </c:pt>
                <c:pt idx="1">
                  <c:v>573</c:v>
                </c:pt>
                <c:pt idx="2">
                  <c:v>534</c:v>
                </c:pt>
                <c:pt idx="3">
                  <c:v>515</c:v>
                </c:pt>
                <c:pt idx="4">
                  <c:v>763</c:v>
                </c:pt>
                <c:pt idx="5">
                  <c:v>840</c:v>
                </c:pt>
                <c:pt idx="6">
                  <c:v>967</c:v>
                </c:pt>
                <c:pt idx="7">
                  <c:v>1046</c:v>
                </c:pt>
                <c:pt idx="8" formatCode="#\ ##0_ ;[Red]\-#\ ##0\ ">
                  <c:v>1125</c:v>
                </c:pt>
                <c:pt idx="9">
                  <c:v>1117</c:v>
                </c:pt>
                <c:pt idx="10">
                  <c:v>1433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D78-40F6-9198-5ADA9F1D7A8F}"/>
            </c:ext>
          </c:extLst>
        </c:ser>
        <c:ser>
          <c:idx val="8"/>
          <c:order val="4"/>
          <c:tx>
            <c:strRef>
              <c:f>ienemumi!$F$338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numRef>
              <c:f>ienemumi!$A$339:$A$353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ienemumi!$F$339:$F$353</c:f>
              <c:numCache>
                <c:formatCode>General</c:formatCode>
                <c:ptCount val="11"/>
                <c:pt idx="3">
                  <c:v>524</c:v>
                </c:pt>
                <c:pt idx="4">
                  <c:v>663</c:v>
                </c:pt>
                <c:pt idx="5">
                  <c:v>717</c:v>
                </c:pt>
                <c:pt idx="6">
                  <c:v>799</c:v>
                </c:pt>
                <c:pt idx="7">
                  <c:v>821</c:v>
                </c:pt>
                <c:pt idx="8" formatCode="#\ ##0_ ;[Red]\-#\ ##0\ ">
                  <c:v>883</c:v>
                </c:pt>
                <c:pt idx="9">
                  <c:v>931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D78-40F6-9198-5ADA9F1D7A8F}"/>
            </c:ext>
          </c:extLst>
        </c:ser>
        <c:ser>
          <c:idx val="4"/>
          <c:order val="5"/>
          <c:tx>
            <c:strRef>
              <c:f>ienemumi!$G$338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chemeClr val="accent5">
                  <a:lumMod val="50000"/>
                </a:schemeClr>
              </a:solidFill>
            </a:ln>
          </c:spPr>
          <c:marker>
            <c:symbol val="circle"/>
            <c:size val="4"/>
            <c:spPr>
              <a:solidFill>
                <a:schemeClr val="accent5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numRef>
              <c:f>ienemumi!$A$339:$A$353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ienemumi!$G$339:$G$353</c:f>
              <c:numCache>
                <c:formatCode>General</c:formatCode>
                <c:ptCount val="11"/>
                <c:pt idx="0">
                  <c:v>443</c:v>
                </c:pt>
                <c:pt idx="1">
                  <c:v>602</c:v>
                </c:pt>
                <c:pt idx="2">
                  <c:v>535</c:v>
                </c:pt>
                <c:pt idx="3">
                  <c:v>561</c:v>
                </c:pt>
                <c:pt idx="4">
                  <c:v>681</c:v>
                </c:pt>
                <c:pt idx="5">
                  <c:v>734</c:v>
                </c:pt>
                <c:pt idx="6">
                  <c:v>782</c:v>
                </c:pt>
                <c:pt idx="7">
                  <c:v>856</c:v>
                </c:pt>
                <c:pt idx="8" formatCode="#\ ##0_ ;[Red]\-#\ ##0\ ">
                  <c:v>943</c:v>
                </c:pt>
                <c:pt idx="9">
                  <c:v>993</c:v>
                </c:pt>
                <c:pt idx="10">
                  <c:v>1024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D78-40F6-9198-5ADA9F1D7A8F}"/>
            </c:ext>
          </c:extLst>
        </c:ser>
        <c:ser>
          <c:idx val="5"/>
          <c:order val="6"/>
          <c:tx>
            <c:strRef>
              <c:f>ienemumi!$H$338</c:f>
              <c:strCache>
                <c:ptCount val="1"/>
                <c:pt idx="0">
                  <c:v>Liepāja</c:v>
                </c:pt>
              </c:strCache>
            </c:strRef>
          </c:tx>
          <c:spPr>
            <a:ln w="15875"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ienemumi!$A$339:$A$353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ienemumi!$H$339:$H$353</c:f>
              <c:numCache>
                <c:formatCode>General</c:formatCode>
                <c:ptCount val="11"/>
                <c:pt idx="0">
                  <c:v>593</c:v>
                </c:pt>
                <c:pt idx="1">
                  <c:v>693</c:v>
                </c:pt>
                <c:pt idx="2">
                  <c:v>515</c:v>
                </c:pt>
                <c:pt idx="3">
                  <c:v>646</c:v>
                </c:pt>
                <c:pt idx="4">
                  <c:v>890</c:v>
                </c:pt>
                <c:pt idx="5">
                  <c:v>946</c:v>
                </c:pt>
                <c:pt idx="6">
                  <c:v>977</c:v>
                </c:pt>
                <c:pt idx="7">
                  <c:v>1073</c:v>
                </c:pt>
                <c:pt idx="8" formatCode="#\ ##0_ ;[Red]\-#\ ##0\ ">
                  <c:v>1158</c:v>
                </c:pt>
                <c:pt idx="9">
                  <c:v>1245</c:v>
                </c:pt>
                <c:pt idx="10">
                  <c:v>1389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D78-40F6-9198-5ADA9F1D7A8F}"/>
            </c:ext>
          </c:extLst>
        </c:ser>
        <c:ser>
          <c:idx val="6"/>
          <c:order val="7"/>
          <c:tx>
            <c:strRef>
              <c:f>ienemumi!$I$338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C0504D">
                    <a:lumMod val="60000"/>
                    <a:lumOff val="40000"/>
                  </a:srgbClr>
                </a:solidFill>
              </a:ln>
            </c:spPr>
          </c:marker>
          <c:cat>
            <c:numRef>
              <c:f>ienemumi!$A$339:$A$353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ienemumi!$I$339:$I$353</c:f>
              <c:numCache>
                <c:formatCode>General</c:formatCode>
                <c:ptCount val="11"/>
                <c:pt idx="0">
                  <c:v>406</c:v>
                </c:pt>
                <c:pt idx="1">
                  <c:v>485</c:v>
                </c:pt>
                <c:pt idx="2">
                  <c:v>468</c:v>
                </c:pt>
                <c:pt idx="3">
                  <c:v>497</c:v>
                </c:pt>
                <c:pt idx="4">
                  <c:v>639</c:v>
                </c:pt>
                <c:pt idx="5">
                  <c:v>650</c:v>
                </c:pt>
                <c:pt idx="6">
                  <c:v>707</c:v>
                </c:pt>
                <c:pt idx="7">
                  <c:v>778</c:v>
                </c:pt>
                <c:pt idx="8" formatCode="#\ ##0_ ;[Red]\-#\ ##0\ ">
                  <c:v>773</c:v>
                </c:pt>
                <c:pt idx="9">
                  <c:v>860</c:v>
                </c:pt>
                <c:pt idx="10">
                  <c:v>979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8D78-40F6-9198-5ADA9F1D7A8F}"/>
            </c:ext>
          </c:extLst>
        </c:ser>
        <c:ser>
          <c:idx val="9"/>
          <c:order val="8"/>
          <c:tx>
            <c:strRef>
              <c:f>ienemumi!$J$338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ienemumi!$A$339:$A$353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ienemumi!$J$339:$J$353</c:f>
              <c:numCache>
                <c:formatCode>General</c:formatCode>
                <c:ptCount val="11"/>
                <c:pt idx="3">
                  <c:v>615</c:v>
                </c:pt>
                <c:pt idx="4">
                  <c:v>867</c:v>
                </c:pt>
                <c:pt idx="5">
                  <c:v>939</c:v>
                </c:pt>
                <c:pt idx="6">
                  <c:v>1016</c:v>
                </c:pt>
                <c:pt idx="7">
                  <c:v>1112</c:v>
                </c:pt>
                <c:pt idx="8" formatCode="#\ ##0_ ;[Red]\-#\ ##0\ ">
                  <c:v>1184</c:v>
                </c:pt>
                <c:pt idx="9">
                  <c:v>1258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8D78-40F6-9198-5ADA9F1D7A8F}"/>
            </c:ext>
          </c:extLst>
        </c:ser>
        <c:ser>
          <c:idx val="7"/>
          <c:order val="9"/>
          <c:tx>
            <c:strRef>
              <c:f>ienemumi!$K$338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B0F0"/>
              </a:solidFill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ienemumi!$A$339:$A$353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ienemumi!$K$339:$K$353</c:f>
              <c:numCache>
                <c:formatCode>General</c:formatCode>
                <c:ptCount val="11"/>
                <c:pt idx="0">
                  <c:v>683</c:v>
                </c:pt>
                <c:pt idx="1">
                  <c:v>818</c:v>
                </c:pt>
                <c:pt idx="2">
                  <c:v>804</c:v>
                </c:pt>
                <c:pt idx="3">
                  <c:v>827</c:v>
                </c:pt>
                <c:pt idx="4">
                  <c:v>973</c:v>
                </c:pt>
                <c:pt idx="5">
                  <c:v>970</c:v>
                </c:pt>
                <c:pt idx="6">
                  <c:v>1005</c:v>
                </c:pt>
                <c:pt idx="7">
                  <c:v>1077</c:v>
                </c:pt>
                <c:pt idx="8" formatCode="#\ ##0_ ;[Red]\-#\ ##0\ ">
                  <c:v>1157</c:v>
                </c:pt>
                <c:pt idx="9">
                  <c:v>1125</c:v>
                </c:pt>
                <c:pt idx="10">
                  <c:v>1187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8D78-40F6-9198-5ADA9F1D7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2352736"/>
        <c:axId val="-412350016"/>
      </c:lineChart>
      <c:catAx>
        <c:axId val="-41235273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-412350016"/>
        <c:crosses val="autoZero"/>
        <c:auto val="1"/>
        <c:lblAlgn val="ctr"/>
        <c:lblOffset val="100"/>
        <c:noMultiLvlLbl val="0"/>
      </c:catAx>
      <c:valAx>
        <c:axId val="-412350016"/>
        <c:scaling>
          <c:orientation val="minMax"/>
          <c:max val="1650"/>
          <c:min val="35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>
                    <a:lumMod val="8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lv-LV"/>
          </a:p>
        </c:txPr>
        <c:crossAx val="-412352736"/>
        <c:crosses val="autoZero"/>
        <c:crossBetween val="between"/>
        <c:majorUnit val="13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Times New Roman" pitchFamily="18" charset="0"/>
                <a:ea typeface="Times New Roman"/>
                <a:cs typeface="Times New Roman" pitchFamily="18" charset="0"/>
              </a:defRPr>
            </a:pPr>
            <a:endParaRPr lang="lv-LV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Vidējā apdrošināšanas iemaksu alga</a:t>
            </a:r>
            <a:r>
              <a:rPr lang="lv-LV" sz="120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, EUR/mēn </a:t>
            </a:r>
            <a:endParaRPr lang="lv-LV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ienemumi!$B$66</c:f>
              <c:strCache>
                <c:ptCount val="1"/>
                <c:pt idx="0">
                  <c:v>Latvija</c:v>
                </c:pt>
              </c:strCache>
            </c:strRef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0000FF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ienemumi!$A$68:$A$84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ienemumi!$B$68:$B$84</c:f>
              <c:numCache>
                <c:formatCode>General</c:formatCode>
                <c:ptCount val="9"/>
                <c:pt idx="0" formatCode="0">
                  <c:v>573.41733968503308</c:v>
                </c:pt>
                <c:pt idx="1">
                  <c:v>693</c:v>
                </c:pt>
                <c:pt idx="2">
                  <c:v>743</c:v>
                </c:pt>
                <c:pt idx="3">
                  <c:v>813</c:v>
                </c:pt>
                <c:pt idx="4">
                  <c:v>887</c:v>
                </c:pt>
                <c:pt idx="5" formatCode="0">
                  <c:v>953.36</c:v>
                </c:pt>
                <c:pt idx="6">
                  <c:v>989</c:v>
                </c:pt>
                <c:pt idx="7">
                  <c:v>1128</c:v>
                </c:pt>
                <c:pt idx="8" formatCode="#\ ##0_ ;[Red]\-#\ ##0\ ">
                  <c:v>1275.25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774-4DE7-967B-D9D989E6E565}"/>
            </c:ext>
          </c:extLst>
        </c:ser>
        <c:ser>
          <c:idx val="1"/>
          <c:order val="1"/>
          <c:tx>
            <c:strRef>
              <c:f>ienemumi!$C$66</c:f>
              <c:strCache>
                <c:ptCount val="1"/>
                <c:pt idx="0">
                  <c:v>Rīga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ienemumi!$A$68:$A$84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ienemumi!$C$68:$C$84</c:f>
              <c:numCache>
                <c:formatCode>General</c:formatCode>
                <c:ptCount val="9"/>
                <c:pt idx="0" formatCode="0">
                  <c:v>640.29231478477641</c:v>
                </c:pt>
                <c:pt idx="1">
                  <c:v>763</c:v>
                </c:pt>
                <c:pt idx="2">
                  <c:v>824</c:v>
                </c:pt>
                <c:pt idx="3">
                  <c:v>902</c:v>
                </c:pt>
                <c:pt idx="4">
                  <c:v>984</c:v>
                </c:pt>
                <c:pt idx="5" formatCode="0">
                  <c:v>1056.72</c:v>
                </c:pt>
                <c:pt idx="6">
                  <c:v>1093</c:v>
                </c:pt>
                <c:pt idx="7">
                  <c:v>1252</c:v>
                </c:pt>
                <c:pt idx="8" formatCode="#\ ##0_ ;[Red]\-#\ ##0\ ">
                  <c:v>1424.4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774-4DE7-967B-D9D989E6E565}"/>
            </c:ext>
          </c:extLst>
        </c:ser>
        <c:ser>
          <c:idx val="2"/>
          <c:order val="2"/>
          <c:tx>
            <c:strRef>
              <c:f>ienemumi!$D$66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3"/>
              </a:solidFill>
              <a:ln w="9525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effectLst/>
            </c:spPr>
          </c:marker>
          <c:cat>
            <c:numRef>
              <c:f>ienemumi!$A$68:$A$84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ienemumi!$D$68:$D$84</c:f>
              <c:numCache>
                <c:formatCode>General</c:formatCode>
                <c:ptCount val="9"/>
                <c:pt idx="0" formatCode="0">
                  <c:v>500.85087734275845</c:v>
                </c:pt>
                <c:pt idx="1">
                  <c:v>588</c:v>
                </c:pt>
                <c:pt idx="2">
                  <c:v>607</c:v>
                </c:pt>
                <c:pt idx="3">
                  <c:v>650</c:v>
                </c:pt>
                <c:pt idx="4">
                  <c:v>702</c:v>
                </c:pt>
                <c:pt idx="5" formatCode="0">
                  <c:v>751.22</c:v>
                </c:pt>
                <c:pt idx="6">
                  <c:v>775</c:v>
                </c:pt>
                <c:pt idx="7">
                  <c:v>894</c:v>
                </c:pt>
                <c:pt idx="8" formatCode="#\ ##0_ ;[Red]\-#\ ##0\ ">
                  <c:v>989.19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774-4DE7-967B-D9D989E6E565}"/>
            </c:ext>
          </c:extLst>
        </c:ser>
        <c:ser>
          <c:idx val="3"/>
          <c:order val="3"/>
          <c:tx>
            <c:strRef>
              <c:f>ienemumi!$E$66</c:f>
              <c:strCache>
                <c:ptCount val="1"/>
                <c:pt idx="0">
                  <c:v>Jelgava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ienemumi!$A$68:$A$84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ienemumi!$E$68:$E$84</c:f>
              <c:numCache>
                <c:formatCode>General</c:formatCode>
                <c:ptCount val="9"/>
                <c:pt idx="0" formatCode="0">
                  <c:v>594.76041684452571</c:v>
                </c:pt>
                <c:pt idx="1">
                  <c:v>713</c:v>
                </c:pt>
                <c:pt idx="2">
                  <c:v>754</c:v>
                </c:pt>
                <c:pt idx="3">
                  <c:v>816</c:v>
                </c:pt>
                <c:pt idx="4">
                  <c:v>891</c:v>
                </c:pt>
                <c:pt idx="5" formatCode="0">
                  <c:v>957.85</c:v>
                </c:pt>
                <c:pt idx="6">
                  <c:v>984</c:v>
                </c:pt>
                <c:pt idx="7">
                  <c:v>1109</c:v>
                </c:pt>
                <c:pt idx="8" formatCode="#\ ##0_ ;[Red]\-#\ ##0\ ">
                  <c:v>1247.6400000000001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774-4DE7-967B-D9D989E6E565}"/>
            </c:ext>
          </c:extLst>
        </c:ser>
        <c:ser>
          <c:idx val="4"/>
          <c:order val="4"/>
          <c:tx>
            <c:strRef>
              <c:f>ienemumi!$F$66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 cap="rnd">
              <a:solidFill>
                <a:srgbClr val="FF00FF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FF00FF"/>
              </a:solidFill>
              <a:ln w="9525">
                <a:solidFill>
                  <a:srgbClr val="FF00FF"/>
                </a:solidFill>
              </a:ln>
              <a:effectLst/>
            </c:spPr>
          </c:marker>
          <c:cat>
            <c:numRef>
              <c:f>ienemumi!$A$68:$A$84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ienemumi!$F$68:$F$84</c:f>
              <c:numCache>
                <c:formatCode>General</c:formatCode>
                <c:ptCount val="9"/>
                <c:pt idx="1">
                  <c:v>602</c:v>
                </c:pt>
                <c:pt idx="2">
                  <c:v>639</c:v>
                </c:pt>
                <c:pt idx="3">
                  <c:v>691</c:v>
                </c:pt>
                <c:pt idx="4">
                  <c:v>758</c:v>
                </c:pt>
                <c:pt idx="5" formatCode="0">
                  <c:v>819.91</c:v>
                </c:pt>
                <c:pt idx="6">
                  <c:v>849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774-4DE7-967B-D9D989E6E565}"/>
            </c:ext>
          </c:extLst>
        </c:ser>
        <c:ser>
          <c:idx val="5"/>
          <c:order val="5"/>
          <c:tx>
            <c:strRef>
              <c:f>ienemumi!$G$66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ienemumi!$A$68:$A$84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ienemumi!$G$68:$G$84</c:f>
              <c:numCache>
                <c:formatCode>General</c:formatCode>
                <c:ptCount val="9"/>
                <c:pt idx="0" formatCode="0">
                  <c:v>648.82954564857346</c:v>
                </c:pt>
                <c:pt idx="1">
                  <c:v>758</c:v>
                </c:pt>
                <c:pt idx="2">
                  <c:v>831</c:v>
                </c:pt>
                <c:pt idx="3">
                  <c:v>906</c:v>
                </c:pt>
                <c:pt idx="4">
                  <c:v>977</c:v>
                </c:pt>
                <c:pt idx="5" formatCode="0">
                  <c:v>1040.1500000000001</c:v>
                </c:pt>
                <c:pt idx="6">
                  <c:v>1070</c:v>
                </c:pt>
                <c:pt idx="7">
                  <c:v>1236</c:v>
                </c:pt>
                <c:pt idx="8" formatCode="#\ ##0_ ;[Red]\-#\ ##0\ ">
                  <c:v>1412.96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5774-4DE7-967B-D9D989E6E565}"/>
            </c:ext>
          </c:extLst>
        </c:ser>
        <c:ser>
          <c:idx val="6"/>
          <c:order val="6"/>
          <c:tx>
            <c:strRef>
              <c:f>ienemumi!$H$66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ienemumi!$A$68:$A$84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ienemumi!$H$68:$H$84</c:f>
              <c:numCache>
                <c:formatCode>General</c:formatCode>
                <c:ptCount val="9"/>
                <c:pt idx="0" formatCode="0">
                  <c:v>522.19395450225102</c:v>
                </c:pt>
                <c:pt idx="1">
                  <c:v>624</c:v>
                </c:pt>
                <c:pt idx="2">
                  <c:v>660</c:v>
                </c:pt>
                <c:pt idx="3">
                  <c:v>719</c:v>
                </c:pt>
                <c:pt idx="4">
                  <c:v>776</c:v>
                </c:pt>
                <c:pt idx="5" formatCode="0">
                  <c:v>830.45</c:v>
                </c:pt>
                <c:pt idx="6">
                  <c:v>867</c:v>
                </c:pt>
                <c:pt idx="7">
                  <c:v>982</c:v>
                </c:pt>
                <c:pt idx="8" formatCode="#\ ##0_ ;[Red]\-#\ ##0\ ">
                  <c:v>1103.3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774-4DE7-967B-D9D989E6E565}"/>
            </c:ext>
          </c:extLst>
        </c:ser>
        <c:ser>
          <c:idx val="7"/>
          <c:order val="7"/>
          <c:tx>
            <c:strRef>
              <c:f>ienemumi!$I$66</c:f>
              <c:strCache>
                <c:ptCount val="1"/>
                <c:pt idx="0">
                  <c:v>Rēzekne </c:v>
                </c:pt>
              </c:strCache>
            </c:strRef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ienemumi!$A$68:$A$84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ienemumi!$I$68:$I$84</c:f>
              <c:numCache>
                <c:formatCode>General</c:formatCode>
                <c:ptCount val="9"/>
                <c:pt idx="0" formatCode="0">
                  <c:v>519.34821088098533</c:v>
                </c:pt>
                <c:pt idx="1">
                  <c:v>606</c:v>
                </c:pt>
                <c:pt idx="2">
                  <c:v>631</c:v>
                </c:pt>
                <c:pt idx="3">
                  <c:v>674</c:v>
                </c:pt>
                <c:pt idx="4">
                  <c:v>724</c:v>
                </c:pt>
                <c:pt idx="5" formatCode="0">
                  <c:v>771.7</c:v>
                </c:pt>
                <c:pt idx="6">
                  <c:v>798</c:v>
                </c:pt>
                <c:pt idx="7">
                  <c:v>905</c:v>
                </c:pt>
                <c:pt idx="8" formatCode="#\ ##0_ ;[Red]\-#\ ##0\ ">
                  <c:v>1018.04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774-4DE7-967B-D9D989E6E565}"/>
            </c:ext>
          </c:extLst>
        </c:ser>
        <c:ser>
          <c:idx val="8"/>
          <c:order val="8"/>
          <c:tx>
            <c:strRef>
              <c:f>ienemumi!$J$66</c:f>
              <c:strCache>
                <c:ptCount val="1"/>
                <c:pt idx="0">
                  <c:v>Valmiera 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ienemumi!$A$68:$A$84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ienemumi!$J$68:$J$84</c:f>
              <c:numCache>
                <c:formatCode>General</c:formatCode>
                <c:ptCount val="9"/>
                <c:pt idx="1">
                  <c:v>703</c:v>
                </c:pt>
                <c:pt idx="2">
                  <c:v>741</c:v>
                </c:pt>
                <c:pt idx="3">
                  <c:v>795</c:v>
                </c:pt>
                <c:pt idx="4">
                  <c:v>872</c:v>
                </c:pt>
                <c:pt idx="5" formatCode="0">
                  <c:v>943.42</c:v>
                </c:pt>
                <c:pt idx="6">
                  <c:v>977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5774-4DE7-967B-D9D989E6E565}"/>
            </c:ext>
          </c:extLst>
        </c:ser>
        <c:ser>
          <c:idx val="9"/>
          <c:order val="9"/>
          <c:tx>
            <c:strRef>
              <c:f>ienemumi!$K$66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ienemumi!$A$68:$A$84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ienemumi!$K$68:$K$84</c:f>
              <c:numCache>
                <c:formatCode>General</c:formatCode>
                <c:ptCount val="9"/>
                <c:pt idx="0" formatCode="0">
                  <c:v>673.01836642933165</c:v>
                </c:pt>
                <c:pt idx="1">
                  <c:v>769</c:v>
                </c:pt>
                <c:pt idx="2">
                  <c:v>791</c:v>
                </c:pt>
                <c:pt idx="3">
                  <c:v>841</c:v>
                </c:pt>
                <c:pt idx="4">
                  <c:v>905</c:v>
                </c:pt>
                <c:pt idx="5" formatCode="0">
                  <c:v>965.8</c:v>
                </c:pt>
                <c:pt idx="6">
                  <c:v>976</c:v>
                </c:pt>
                <c:pt idx="7">
                  <c:v>1081</c:v>
                </c:pt>
                <c:pt idx="8" formatCode="#\ ##0_ ;[Red]\-#\ ##0\ ">
                  <c:v>1216.8499999999999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5774-4DE7-967B-D9D989E6E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2352192"/>
        <c:axId val="-412351648"/>
      </c:lineChart>
      <c:catAx>
        <c:axId val="-412352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-412351648"/>
        <c:crosses val="autoZero"/>
        <c:auto val="1"/>
        <c:lblAlgn val="ctr"/>
        <c:lblOffset val="100"/>
        <c:noMultiLvlLbl val="0"/>
      </c:catAx>
      <c:valAx>
        <c:axId val="-412351648"/>
        <c:scaling>
          <c:orientation val="minMax"/>
          <c:max val="1500"/>
          <c:min val="35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412352192"/>
        <c:crosses val="autoZero"/>
        <c:crossBetween val="between"/>
        <c:majorUnit val="11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rūpniecības nozaru struktūra 2004.gadā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5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explosion val="19"/>
          <c:dPt>
            <c:idx val="0"/>
            <c:bubble3D val="0"/>
            <c:spPr>
              <a:gradFill rotWithShape="0">
                <a:gsLst>
                  <a:gs pos="0">
                    <a:srgbClr val="A6CAF0">
                      <a:gamma/>
                      <a:shade val="53333"/>
                      <a:invGamma/>
                    </a:srgbClr>
                  </a:gs>
                  <a:gs pos="100000">
                    <a:srgbClr val="A6CAF0"/>
                  </a:gs>
                </a:gsLst>
                <a:lin ang="27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FEB-40C1-82F7-151E09F638D3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EB-40C1-82F7-151E09F638D3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EB-40C1-82F7-151E09F638D3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EB-40C1-82F7-151E09F638D3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EB-40C1-82F7-151E09F638D3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EB-40C1-82F7-151E09F638D3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EB-40C1-82F7-151E09F638D3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EB-40C1-82F7-151E09F638D3}"/>
                </c:ext>
              </c:extLst>
            </c:dLbl>
            <c:dLbl>
              <c:idx val="7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EB-40C1-82F7-151E09F638D3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EB-40C1-82F7-151E09F638D3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FEB-40C1-82F7-151E09F638D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6FEB-40C1-82F7-151E09F63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nozaru struktūra 2004.gadā,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ienemumi!#REF!</c:v>
          </c:tx>
          <c:spPr>
            <a:pattFill prst="pct75">
              <a:fgClr>
                <a:srgbClr val="FFFFFF"/>
              </a:fgClr>
              <a:bgClr>
                <a:srgbClr val="996666"/>
              </a:bgClr>
            </a:pattFill>
            <a:ln w="38100">
              <a:solidFill>
                <a:srgbClr val="996666"/>
              </a:solidFill>
              <a:prstDash val="solid"/>
            </a:ln>
          </c:spPr>
          <c:invertIfNegative val="0"/>
          <c:dLbls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12-4C4D-9171-EC4BDAB86E0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D12-4C4D-9171-EC4BDAB86E04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996666"/>
                </a:gs>
                <a:gs pos="100000">
                  <a:srgbClr val="996666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12-4C4D-9171-EC4BDAB86E04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12-4C4D-9171-EC4BDAB86E04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12-4C4D-9171-EC4BDAB86E04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12-4C4D-9171-EC4BDAB86E04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12-4C4D-9171-EC4BDAB86E04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12-4C4D-9171-EC4BDAB86E04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12-4C4D-9171-EC4BDAB86E0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8D12-4C4D-9171-EC4BDAB86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0332768"/>
        <c:axId val="-41255456"/>
      </c:barChart>
      <c:catAx>
        <c:axId val="-41033276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125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255456"/>
        <c:scaling>
          <c:orientation val="minMax"/>
          <c:max val="75"/>
          <c:min val="0"/>
        </c:scaling>
        <c:delete val="1"/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0332768"/>
        <c:crosses val="autoZero"/>
        <c:crossBetween val="between"/>
        <c:majorUnit val="15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dinamika, Liepāja (% pret 1996.gadu)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666699">
                    <a:gamma/>
                    <a:tint val="29412"/>
                    <a:invGamma/>
                  </a:srgbClr>
                </a:gs>
                <a:gs pos="100000">
                  <a:srgbClr val="666699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338-4D9E-98F5-80377DC0174C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008080">
                    <a:gamma/>
                    <a:tint val="42745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338-4D9E-98F5-80377DC0174C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0080C0">
                    <a:gamma/>
                    <a:tint val="50588"/>
                    <a:invGamma/>
                  </a:srgbClr>
                </a:gs>
                <a:gs pos="100000">
                  <a:srgbClr val="0080C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338-4D9E-98F5-80377DC0174C}"/>
            </c:ext>
          </c:extLst>
        </c:ser>
        <c:ser>
          <c:idx val="3"/>
          <c:order val="3"/>
          <c:tx>
            <c:v>ienemumi!#REF!</c:v>
          </c:tx>
          <c:spPr>
            <a:gradFill rotWithShape="0">
              <a:gsLst>
                <a:gs pos="0">
                  <a:srgbClr val="600080">
                    <a:gamma/>
                    <a:tint val="42745"/>
                    <a:invGamma/>
                  </a:srgbClr>
                </a:gs>
                <a:gs pos="100000">
                  <a:srgbClr val="600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338-4D9E-98F5-80377DC0174C}"/>
            </c:ext>
          </c:extLst>
        </c:ser>
        <c:ser>
          <c:idx val="4"/>
          <c:order val="4"/>
          <c:tx>
            <c:v>ienemumi!#REF!</c:v>
          </c:tx>
          <c:spPr>
            <a:gradFill rotWithShape="0">
              <a:gsLst>
                <a:gs pos="0">
                  <a:srgbClr val="800080">
                    <a:gamma/>
                    <a:tint val="63922"/>
                    <a:invGamma/>
                  </a:srgbClr>
                </a:gs>
                <a:gs pos="100000">
                  <a:srgbClr val="800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338-4D9E-98F5-80377DC0174C}"/>
            </c:ext>
          </c:extLst>
        </c:ser>
        <c:ser>
          <c:idx val="5"/>
          <c:order val="5"/>
          <c:tx>
            <c:v>ienemumi!#REF!</c:v>
          </c:tx>
          <c:spPr>
            <a:gradFill rotWithShape="0">
              <a:gsLst>
                <a:gs pos="0">
                  <a:srgbClr val="FF0F70">
                    <a:gamma/>
                    <a:tint val="53333"/>
                    <a:invGamma/>
                  </a:srgbClr>
                </a:gs>
                <a:gs pos="100000">
                  <a:srgbClr val="FF0F7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E338-4D9E-98F5-80377DC0174C}"/>
            </c:ext>
          </c:extLst>
        </c:ser>
        <c:ser>
          <c:idx val="6"/>
          <c:order val="6"/>
          <c:tx>
            <c:v>ienemumi!#REF!</c:v>
          </c:tx>
          <c:spPr>
            <a:gradFill rotWithShape="0">
              <a:gsLst>
                <a:gs pos="0">
                  <a:srgbClr val="3333CC">
                    <a:gamma/>
                    <a:tint val="56078"/>
                    <a:invGamma/>
                  </a:srgbClr>
                </a:gs>
                <a:gs pos="100000">
                  <a:srgbClr val="3333CC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338-4D9E-98F5-80377DC0174C}"/>
            </c:ext>
          </c:extLst>
        </c:ser>
        <c:ser>
          <c:idx val="7"/>
          <c:order val="7"/>
          <c:tx>
            <c:v>ienemumi!#REF!</c:v>
          </c:tx>
          <c:spPr>
            <a:gradFill rotWithShape="0">
              <a:gsLst>
                <a:gs pos="0">
                  <a:srgbClr val="0080C0"/>
                </a:gs>
                <a:gs pos="100000">
                  <a:srgbClr val="0080C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E338-4D9E-98F5-80377DC0174C}"/>
            </c:ext>
          </c:extLst>
        </c:ser>
        <c:ser>
          <c:idx val="8"/>
          <c:order val="8"/>
          <c:tx>
            <c:v>ienemumi!#REF!</c:v>
          </c:tx>
          <c:spPr>
            <a:gradFill rotWithShape="0">
              <a:gsLst>
                <a:gs pos="0">
                  <a:srgbClr val="A6CAF0"/>
                </a:gs>
                <a:gs pos="100000">
                  <a:srgbClr val="A6CAF0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338-4D9E-98F5-80377DC01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254912"/>
        <c:axId val="-41254368"/>
      </c:barChart>
      <c:catAx>
        <c:axId val="-412549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125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254368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2549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rūipniecības produkcijas izlaide un pašražoto preču realizācija, milj.Ls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041-4C95-A72E-3D4D34671C64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3366FF">
                    <a:gamma/>
                    <a:tint val="60784"/>
                    <a:invGamma/>
                  </a:srgbClr>
                </a:gs>
                <a:gs pos="100000">
                  <a:srgbClr val="3366FF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041-4C95-A72E-3D4D34671C64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A6CAF0">
                    <a:gamma/>
                    <a:tint val="60784"/>
                    <a:invGamma/>
                  </a:srgbClr>
                </a:gs>
                <a:gs pos="100000">
                  <a:srgbClr val="A6CAF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041-4C95-A72E-3D4D34671C64}"/>
            </c:ext>
          </c:extLst>
        </c:ser>
        <c:ser>
          <c:idx val="3"/>
          <c:order val="3"/>
          <c:tx>
            <c:v>ienemumi!#REF!</c:v>
          </c:tx>
          <c:spPr>
            <a:gradFill rotWithShape="0">
              <a:gsLst>
                <a:gs pos="0">
                  <a:srgbClr val="C0C0FF"/>
                </a:gs>
                <a:gs pos="100000">
                  <a:srgbClr val="C0C0FF">
                    <a:gamma/>
                    <a:shade val="8470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041-4C95-A72E-3D4D34671C64}"/>
            </c:ext>
          </c:extLst>
        </c:ser>
        <c:ser>
          <c:idx val="4"/>
          <c:order val="4"/>
          <c:tx>
            <c:v>ienemumi!#REF!</c:v>
          </c:tx>
          <c:spPr>
            <a:pattFill prst="wdUpDiag">
              <a:fgClr>
                <a:srgbClr val="FFFFFF"/>
              </a:fgClr>
              <a:bgClr>
                <a:srgbClr val="C0C0FF"/>
              </a:bgClr>
            </a:pattFill>
            <a:ln w="3175">
              <a:solidFill>
                <a:srgbClr val="C0C0FF"/>
              </a:solidFill>
              <a:prstDash val="solid"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041-4C95-A72E-3D4D34671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253280"/>
        <c:axId val="-41252736"/>
      </c:barChart>
      <c:catAx>
        <c:axId val="-4125328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125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25273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253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229</xdr:row>
      <xdr:rowOff>0</xdr:rowOff>
    </xdr:from>
    <xdr:to>
      <xdr:col>11</xdr:col>
      <xdr:colOff>0</xdr:colOff>
      <xdr:row>229</xdr:row>
      <xdr:rowOff>0</xdr:rowOff>
    </xdr:to>
    <xdr:graphicFrame macro="">
      <xdr:nvGraphicFramePr>
        <xdr:cNvPr id="3099789" name="Chart 2">
          <a:extLst>
            <a:ext uri="{FF2B5EF4-FFF2-40B4-BE49-F238E27FC236}">
              <a16:creationId xmlns:a16="http://schemas.microsoft.com/office/drawing/2014/main" id="{00000000-0008-0000-0000-00008D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10</xdr:col>
      <xdr:colOff>447675</xdr:colOff>
      <xdr:row>229</xdr:row>
      <xdr:rowOff>0</xdr:rowOff>
    </xdr:to>
    <xdr:graphicFrame macro="">
      <xdr:nvGraphicFramePr>
        <xdr:cNvPr id="3099790" name="Chart 3">
          <a:extLst>
            <a:ext uri="{FF2B5EF4-FFF2-40B4-BE49-F238E27FC236}">
              <a16:creationId xmlns:a16="http://schemas.microsoft.com/office/drawing/2014/main" id="{00000000-0008-0000-0000-00008E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10</xdr:col>
      <xdr:colOff>523875</xdr:colOff>
      <xdr:row>229</xdr:row>
      <xdr:rowOff>0</xdr:rowOff>
    </xdr:to>
    <xdr:graphicFrame macro="">
      <xdr:nvGraphicFramePr>
        <xdr:cNvPr id="3099791" name="Chart 4">
          <a:extLst>
            <a:ext uri="{FF2B5EF4-FFF2-40B4-BE49-F238E27FC236}">
              <a16:creationId xmlns:a16="http://schemas.microsoft.com/office/drawing/2014/main" id="{00000000-0008-0000-0000-00008F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229</xdr:row>
      <xdr:rowOff>0</xdr:rowOff>
    </xdr:from>
    <xdr:to>
      <xdr:col>10</xdr:col>
      <xdr:colOff>495300</xdr:colOff>
      <xdr:row>229</xdr:row>
      <xdr:rowOff>0</xdr:rowOff>
    </xdr:to>
    <xdr:graphicFrame macro="">
      <xdr:nvGraphicFramePr>
        <xdr:cNvPr id="3099792" name="Chart 5">
          <a:extLst>
            <a:ext uri="{FF2B5EF4-FFF2-40B4-BE49-F238E27FC236}">
              <a16:creationId xmlns:a16="http://schemas.microsoft.com/office/drawing/2014/main" id="{00000000-0008-0000-0000-000090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229</xdr:row>
      <xdr:rowOff>0</xdr:rowOff>
    </xdr:from>
    <xdr:to>
      <xdr:col>10</xdr:col>
      <xdr:colOff>514350</xdr:colOff>
      <xdr:row>229</xdr:row>
      <xdr:rowOff>0</xdr:rowOff>
    </xdr:to>
    <xdr:graphicFrame macro="">
      <xdr:nvGraphicFramePr>
        <xdr:cNvPr id="3099793" name="Chart 6">
          <a:extLst>
            <a:ext uri="{FF2B5EF4-FFF2-40B4-BE49-F238E27FC236}">
              <a16:creationId xmlns:a16="http://schemas.microsoft.com/office/drawing/2014/main" id="{00000000-0008-0000-0000-000091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229</xdr:row>
      <xdr:rowOff>0</xdr:rowOff>
    </xdr:from>
    <xdr:to>
      <xdr:col>10</xdr:col>
      <xdr:colOff>333375</xdr:colOff>
      <xdr:row>229</xdr:row>
      <xdr:rowOff>0</xdr:rowOff>
    </xdr:to>
    <xdr:graphicFrame macro="">
      <xdr:nvGraphicFramePr>
        <xdr:cNvPr id="3099794" name="Chart 7">
          <a:extLst>
            <a:ext uri="{FF2B5EF4-FFF2-40B4-BE49-F238E27FC236}">
              <a16:creationId xmlns:a16="http://schemas.microsoft.com/office/drawing/2014/main" id="{00000000-0008-0000-0000-000092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229</xdr:row>
      <xdr:rowOff>0</xdr:rowOff>
    </xdr:from>
    <xdr:to>
      <xdr:col>10</xdr:col>
      <xdr:colOff>504825</xdr:colOff>
      <xdr:row>229</xdr:row>
      <xdr:rowOff>0</xdr:rowOff>
    </xdr:to>
    <xdr:graphicFrame macro="">
      <xdr:nvGraphicFramePr>
        <xdr:cNvPr id="3099795" name="Chart 8">
          <a:extLst>
            <a:ext uri="{FF2B5EF4-FFF2-40B4-BE49-F238E27FC236}">
              <a16:creationId xmlns:a16="http://schemas.microsoft.com/office/drawing/2014/main" id="{00000000-0008-0000-0000-000093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10</xdr:col>
      <xdr:colOff>514350</xdr:colOff>
      <xdr:row>229</xdr:row>
      <xdr:rowOff>0</xdr:rowOff>
    </xdr:to>
    <xdr:graphicFrame macro="">
      <xdr:nvGraphicFramePr>
        <xdr:cNvPr id="3099796" name="Chart 9">
          <a:extLst>
            <a:ext uri="{FF2B5EF4-FFF2-40B4-BE49-F238E27FC236}">
              <a16:creationId xmlns:a16="http://schemas.microsoft.com/office/drawing/2014/main" id="{00000000-0008-0000-0000-000094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</xdr:colOff>
      <xdr:row>229</xdr:row>
      <xdr:rowOff>0</xdr:rowOff>
    </xdr:from>
    <xdr:to>
      <xdr:col>10</xdr:col>
      <xdr:colOff>485775</xdr:colOff>
      <xdr:row>229</xdr:row>
      <xdr:rowOff>0</xdr:rowOff>
    </xdr:to>
    <xdr:graphicFrame macro="">
      <xdr:nvGraphicFramePr>
        <xdr:cNvPr id="3099797" name="Chart 10">
          <a:extLst>
            <a:ext uri="{FF2B5EF4-FFF2-40B4-BE49-F238E27FC236}">
              <a16:creationId xmlns:a16="http://schemas.microsoft.com/office/drawing/2014/main" id="{00000000-0008-0000-0000-000095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10</xdr:col>
      <xdr:colOff>504825</xdr:colOff>
      <xdr:row>229</xdr:row>
      <xdr:rowOff>0</xdr:rowOff>
    </xdr:to>
    <xdr:graphicFrame macro="">
      <xdr:nvGraphicFramePr>
        <xdr:cNvPr id="3099798" name="Chart 11">
          <a:extLst>
            <a:ext uri="{FF2B5EF4-FFF2-40B4-BE49-F238E27FC236}">
              <a16:creationId xmlns:a16="http://schemas.microsoft.com/office/drawing/2014/main" id="{00000000-0008-0000-0000-000096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10</xdr:col>
      <xdr:colOff>495300</xdr:colOff>
      <xdr:row>229</xdr:row>
      <xdr:rowOff>0</xdr:rowOff>
    </xdr:to>
    <xdr:graphicFrame macro="">
      <xdr:nvGraphicFramePr>
        <xdr:cNvPr id="3099799" name="Chart 12">
          <a:extLst>
            <a:ext uri="{FF2B5EF4-FFF2-40B4-BE49-F238E27FC236}">
              <a16:creationId xmlns:a16="http://schemas.microsoft.com/office/drawing/2014/main" id="{00000000-0008-0000-0000-000097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10</xdr:col>
      <xdr:colOff>466725</xdr:colOff>
      <xdr:row>229</xdr:row>
      <xdr:rowOff>0</xdr:rowOff>
    </xdr:to>
    <xdr:graphicFrame macro="">
      <xdr:nvGraphicFramePr>
        <xdr:cNvPr id="3099800" name="Chart 13">
          <a:extLst>
            <a:ext uri="{FF2B5EF4-FFF2-40B4-BE49-F238E27FC236}">
              <a16:creationId xmlns:a16="http://schemas.microsoft.com/office/drawing/2014/main" id="{00000000-0008-0000-0000-000098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38100</xdr:colOff>
      <xdr:row>229</xdr:row>
      <xdr:rowOff>0</xdr:rowOff>
    </xdr:from>
    <xdr:to>
      <xdr:col>10</xdr:col>
      <xdr:colOff>466725</xdr:colOff>
      <xdr:row>229</xdr:row>
      <xdr:rowOff>0</xdr:rowOff>
    </xdr:to>
    <xdr:graphicFrame macro="">
      <xdr:nvGraphicFramePr>
        <xdr:cNvPr id="3099801" name="Chart 14">
          <a:extLst>
            <a:ext uri="{FF2B5EF4-FFF2-40B4-BE49-F238E27FC236}">
              <a16:creationId xmlns:a16="http://schemas.microsoft.com/office/drawing/2014/main" id="{00000000-0008-0000-0000-000099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19050</xdr:colOff>
      <xdr:row>229</xdr:row>
      <xdr:rowOff>0</xdr:rowOff>
    </xdr:from>
    <xdr:to>
      <xdr:col>10</xdr:col>
      <xdr:colOff>485775</xdr:colOff>
      <xdr:row>229</xdr:row>
      <xdr:rowOff>0</xdr:rowOff>
    </xdr:to>
    <xdr:graphicFrame macro="">
      <xdr:nvGraphicFramePr>
        <xdr:cNvPr id="3099802" name="Chart 15">
          <a:extLst>
            <a:ext uri="{FF2B5EF4-FFF2-40B4-BE49-F238E27FC236}">
              <a16:creationId xmlns:a16="http://schemas.microsoft.com/office/drawing/2014/main" id="{00000000-0008-0000-0000-00009A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229</xdr:row>
      <xdr:rowOff>0</xdr:rowOff>
    </xdr:from>
    <xdr:to>
      <xdr:col>10</xdr:col>
      <xdr:colOff>504825</xdr:colOff>
      <xdr:row>229</xdr:row>
      <xdr:rowOff>0</xdr:rowOff>
    </xdr:to>
    <xdr:graphicFrame macro="">
      <xdr:nvGraphicFramePr>
        <xdr:cNvPr id="3099803" name="Chart 16">
          <a:extLst>
            <a:ext uri="{FF2B5EF4-FFF2-40B4-BE49-F238E27FC236}">
              <a16:creationId xmlns:a16="http://schemas.microsoft.com/office/drawing/2014/main" id="{00000000-0008-0000-0000-00009B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10</xdr:col>
      <xdr:colOff>476250</xdr:colOff>
      <xdr:row>229</xdr:row>
      <xdr:rowOff>0</xdr:rowOff>
    </xdr:to>
    <xdr:graphicFrame macro="">
      <xdr:nvGraphicFramePr>
        <xdr:cNvPr id="3099804" name="Chart 17">
          <a:extLst>
            <a:ext uri="{FF2B5EF4-FFF2-40B4-BE49-F238E27FC236}">
              <a16:creationId xmlns:a16="http://schemas.microsoft.com/office/drawing/2014/main" id="{00000000-0008-0000-0000-00009C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38100</xdr:colOff>
      <xdr:row>229</xdr:row>
      <xdr:rowOff>0</xdr:rowOff>
    </xdr:from>
    <xdr:to>
      <xdr:col>10</xdr:col>
      <xdr:colOff>457200</xdr:colOff>
      <xdr:row>229</xdr:row>
      <xdr:rowOff>0</xdr:rowOff>
    </xdr:to>
    <xdr:graphicFrame macro="">
      <xdr:nvGraphicFramePr>
        <xdr:cNvPr id="3099805" name="Chart 18">
          <a:extLst>
            <a:ext uri="{FF2B5EF4-FFF2-40B4-BE49-F238E27FC236}">
              <a16:creationId xmlns:a16="http://schemas.microsoft.com/office/drawing/2014/main" id="{00000000-0008-0000-0000-00009D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10</xdr:col>
      <xdr:colOff>495300</xdr:colOff>
      <xdr:row>229</xdr:row>
      <xdr:rowOff>0</xdr:rowOff>
    </xdr:to>
    <xdr:graphicFrame macro="">
      <xdr:nvGraphicFramePr>
        <xdr:cNvPr id="3099806" name="Chart 19">
          <a:extLst>
            <a:ext uri="{FF2B5EF4-FFF2-40B4-BE49-F238E27FC236}">
              <a16:creationId xmlns:a16="http://schemas.microsoft.com/office/drawing/2014/main" id="{00000000-0008-0000-0000-00009E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10</xdr:col>
      <xdr:colOff>485775</xdr:colOff>
      <xdr:row>229</xdr:row>
      <xdr:rowOff>0</xdr:rowOff>
    </xdr:to>
    <xdr:graphicFrame macro="">
      <xdr:nvGraphicFramePr>
        <xdr:cNvPr id="3099807" name="Chart 20">
          <a:extLst>
            <a:ext uri="{FF2B5EF4-FFF2-40B4-BE49-F238E27FC236}">
              <a16:creationId xmlns:a16="http://schemas.microsoft.com/office/drawing/2014/main" id="{00000000-0008-0000-0000-00009F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9525</xdr:colOff>
      <xdr:row>229</xdr:row>
      <xdr:rowOff>0</xdr:rowOff>
    </xdr:from>
    <xdr:to>
      <xdr:col>10</xdr:col>
      <xdr:colOff>476250</xdr:colOff>
      <xdr:row>229</xdr:row>
      <xdr:rowOff>0</xdr:rowOff>
    </xdr:to>
    <xdr:graphicFrame macro="">
      <xdr:nvGraphicFramePr>
        <xdr:cNvPr id="3099808" name="Chart 21">
          <a:extLst>
            <a:ext uri="{FF2B5EF4-FFF2-40B4-BE49-F238E27FC236}">
              <a16:creationId xmlns:a16="http://schemas.microsoft.com/office/drawing/2014/main" id="{00000000-0008-0000-0000-0000A0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10</xdr:col>
      <xdr:colOff>504825</xdr:colOff>
      <xdr:row>229</xdr:row>
      <xdr:rowOff>0</xdr:rowOff>
    </xdr:to>
    <xdr:graphicFrame macro="">
      <xdr:nvGraphicFramePr>
        <xdr:cNvPr id="3099809" name="Chart 22">
          <a:extLst>
            <a:ext uri="{FF2B5EF4-FFF2-40B4-BE49-F238E27FC236}">
              <a16:creationId xmlns:a16="http://schemas.microsoft.com/office/drawing/2014/main" id="{00000000-0008-0000-0000-0000A1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9525</xdr:colOff>
      <xdr:row>229</xdr:row>
      <xdr:rowOff>0</xdr:rowOff>
    </xdr:from>
    <xdr:to>
      <xdr:col>10</xdr:col>
      <xdr:colOff>457200</xdr:colOff>
      <xdr:row>229</xdr:row>
      <xdr:rowOff>0</xdr:rowOff>
    </xdr:to>
    <xdr:graphicFrame macro="">
      <xdr:nvGraphicFramePr>
        <xdr:cNvPr id="3099810" name="Chart 23">
          <a:extLst>
            <a:ext uri="{FF2B5EF4-FFF2-40B4-BE49-F238E27FC236}">
              <a16:creationId xmlns:a16="http://schemas.microsoft.com/office/drawing/2014/main" id="{00000000-0008-0000-0000-0000A2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16</xdr:col>
      <xdr:colOff>476250</xdr:colOff>
      <xdr:row>229</xdr:row>
      <xdr:rowOff>0</xdr:rowOff>
    </xdr:to>
    <xdr:graphicFrame macro="">
      <xdr:nvGraphicFramePr>
        <xdr:cNvPr id="3099811" name="Chart 24">
          <a:extLst>
            <a:ext uri="{FF2B5EF4-FFF2-40B4-BE49-F238E27FC236}">
              <a16:creationId xmlns:a16="http://schemas.microsoft.com/office/drawing/2014/main" id="{00000000-0008-0000-0000-0000A3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47625</xdr:colOff>
      <xdr:row>229</xdr:row>
      <xdr:rowOff>0</xdr:rowOff>
    </xdr:from>
    <xdr:to>
      <xdr:col>16</xdr:col>
      <xdr:colOff>476250</xdr:colOff>
      <xdr:row>229</xdr:row>
      <xdr:rowOff>0</xdr:rowOff>
    </xdr:to>
    <xdr:graphicFrame macro="">
      <xdr:nvGraphicFramePr>
        <xdr:cNvPr id="3099812" name="Chart 25">
          <a:extLst>
            <a:ext uri="{FF2B5EF4-FFF2-40B4-BE49-F238E27FC236}">
              <a16:creationId xmlns:a16="http://schemas.microsoft.com/office/drawing/2014/main" id="{00000000-0008-0000-0000-0000A4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9525</xdr:colOff>
      <xdr:row>229</xdr:row>
      <xdr:rowOff>0</xdr:rowOff>
    </xdr:from>
    <xdr:to>
      <xdr:col>16</xdr:col>
      <xdr:colOff>466725</xdr:colOff>
      <xdr:row>229</xdr:row>
      <xdr:rowOff>0</xdr:rowOff>
    </xdr:to>
    <xdr:graphicFrame macro="">
      <xdr:nvGraphicFramePr>
        <xdr:cNvPr id="3099813" name="Chart 26">
          <a:extLst>
            <a:ext uri="{FF2B5EF4-FFF2-40B4-BE49-F238E27FC236}">
              <a16:creationId xmlns:a16="http://schemas.microsoft.com/office/drawing/2014/main" id="{00000000-0008-0000-0000-0000A5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16</xdr:col>
      <xdr:colOff>514350</xdr:colOff>
      <xdr:row>229</xdr:row>
      <xdr:rowOff>0</xdr:rowOff>
    </xdr:to>
    <xdr:graphicFrame macro="">
      <xdr:nvGraphicFramePr>
        <xdr:cNvPr id="3099814" name="Chart 27">
          <a:extLst>
            <a:ext uri="{FF2B5EF4-FFF2-40B4-BE49-F238E27FC236}">
              <a16:creationId xmlns:a16="http://schemas.microsoft.com/office/drawing/2014/main" id="{00000000-0008-0000-0000-0000A6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19050</xdr:colOff>
      <xdr:row>229</xdr:row>
      <xdr:rowOff>0</xdr:rowOff>
    </xdr:from>
    <xdr:to>
      <xdr:col>16</xdr:col>
      <xdr:colOff>485775</xdr:colOff>
      <xdr:row>229</xdr:row>
      <xdr:rowOff>0</xdr:rowOff>
    </xdr:to>
    <xdr:graphicFrame macro="">
      <xdr:nvGraphicFramePr>
        <xdr:cNvPr id="3099815" name="Chart 28">
          <a:extLst>
            <a:ext uri="{FF2B5EF4-FFF2-40B4-BE49-F238E27FC236}">
              <a16:creationId xmlns:a16="http://schemas.microsoft.com/office/drawing/2014/main" id="{00000000-0008-0000-0000-0000A7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16</xdr:col>
      <xdr:colOff>495300</xdr:colOff>
      <xdr:row>229</xdr:row>
      <xdr:rowOff>0</xdr:rowOff>
    </xdr:to>
    <xdr:graphicFrame macro="">
      <xdr:nvGraphicFramePr>
        <xdr:cNvPr id="3099816" name="Chart 29">
          <a:extLst>
            <a:ext uri="{FF2B5EF4-FFF2-40B4-BE49-F238E27FC236}">
              <a16:creationId xmlns:a16="http://schemas.microsoft.com/office/drawing/2014/main" id="{00000000-0008-0000-0000-0000A8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16</xdr:col>
      <xdr:colOff>495300</xdr:colOff>
      <xdr:row>229</xdr:row>
      <xdr:rowOff>0</xdr:rowOff>
    </xdr:to>
    <xdr:graphicFrame macro="">
      <xdr:nvGraphicFramePr>
        <xdr:cNvPr id="3099817" name="Chart 31">
          <a:extLst>
            <a:ext uri="{FF2B5EF4-FFF2-40B4-BE49-F238E27FC236}">
              <a16:creationId xmlns:a16="http://schemas.microsoft.com/office/drawing/2014/main" id="{00000000-0008-0000-0000-0000A9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17</xdr:col>
      <xdr:colOff>0</xdr:colOff>
      <xdr:row>229</xdr:row>
      <xdr:rowOff>0</xdr:rowOff>
    </xdr:to>
    <xdr:graphicFrame macro="">
      <xdr:nvGraphicFramePr>
        <xdr:cNvPr id="3099818" name="Chart 32">
          <a:extLst>
            <a:ext uri="{FF2B5EF4-FFF2-40B4-BE49-F238E27FC236}">
              <a16:creationId xmlns:a16="http://schemas.microsoft.com/office/drawing/2014/main" id="{00000000-0008-0000-0000-0000AA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16</xdr:col>
      <xdr:colOff>504825</xdr:colOff>
      <xdr:row>229</xdr:row>
      <xdr:rowOff>0</xdr:rowOff>
    </xdr:to>
    <xdr:graphicFrame macro="">
      <xdr:nvGraphicFramePr>
        <xdr:cNvPr id="3099819" name="Chart 33">
          <a:extLst>
            <a:ext uri="{FF2B5EF4-FFF2-40B4-BE49-F238E27FC236}">
              <a16:creationId xmlns:a16="http://schemas.microsoft.com/office/drawing/2014/main" id="{00000000-0008-0000-0000-0000AB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16</xdr:col>
      <xdr:colOff>514350</xdr:colOff>
      <xdr:row>229</xdr:row>
      <xdr:rowOff>0</xdr:rowOff>
    </xdr:to>
    <xdr:graphicFrame macro="">
      <xdr:nvGraphicFramePr>
        <xdr:cNvPr id="3099820" name="Chart 37">
          <a:extLst>
            <a:ext uri="{FF2B5EF4-FFF2-40B4-BE49-F238E27FC236}">
              <a16:creationId xmlns:a16="http://schemas.microsoft.com/office/drawing/2014/main" id="{00000000-0008-0000-0000-0000AC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9525</xdr:colOff>
      <xdr:row>229</xdr:row>
      <xdr:rowOff>0</xdr:rowOff>
    </xdr:from>
    <xdr:to>
      <xdr:col>16</xdr:col>
      <xdr:colOff>504825</xdr:colOff>
      <xdr:row>229</xdr:row>
      <xdr:rowOff>0</xdr:rowOff>
    </xdr:to>
    <xdr:graphicFrame macro="">
      <xdr:nvGraphicFramePr>
        <xdr:cNvPr id="3099821" name="Chart 40">
          <a:extLst>
            <a:ext uri="{FF2B5EF4-FFF2-40B4-BE49-F238E27FC236}">
              <a16:creationId xmlns:a16="http://schemas.microsoft.com/office/drawing/2014/main" id="{00000000-0008-0000-0000-0000AD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19050</xdr:colOff>
      <xdr:row>229</xdr:row>
      <xdr:rowOff>0</xdr:rowOff>
    </xdr:from>
    <xdr:to>
      <xdr:col>16</xdr:col>
      <xdr:colOff>504825</xdr:colOff>
      <xdr:row>229</xdr:row>
      <xdr:rowOff>0</xdr:rowOff>
    </xdr:to>
    <xdr:graphicFrame macro="">
      <xdr:nvGraphicFramePr>
        <xdr:cNvPr id="3099822" name="Chart 44">
          <a:extLst>
            <a:ext uri="{FF2B5EF4-FFF2-40B4-BE49-F238E27FC236}">
              <a16:creationId xmlns:a16="http://schemas.microsoft.com/office/drawing/2014/main" id="{00000000-0008-0000-0000-0000AE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38100</xdr:colOff>
      <xdr:row>229</xdr:row>
      <xdr:rowOff>0</xdr:rowOff>
    </xdr:from>
    <xdr:to>
      <xdr:col>16</xdr:col>
      <xdr:colOff>514350</xdr:colOff>
      <xdr:row>229</xdr:row>
      <xdr:rowOff>0</xdr:rowOff>
    </xdr:to>
    <xdr:graphicFrame macro="">
      <xdr:nvGraphicFramePr>
        <xdr:cNvPr id="3099823" name="Chart 47">
          <a:extLst>
            <a:ext uri="{FF2B5EF4-FFF2-40B4-BE49-F238E27FC236}">
              <a16:creationId xmlns:a16="http://schemas.microsoft.com/office/drawing/2014/main" id="{00000000-0008-0000-0000-0000AF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16</xdr:col>
      <xdr:colOff>495300</xdr:colOff>
      <xdr:row>229</xdr:row>
      <xdr:rowOff>0</xdr:rowOff>
    </xdr:to>
    <xdr:graphicFrame macro="">
      <xdr:nvGraphicFramePr>
        <xdr:cNvPr id="3099824" name="Chart 48">
          <a:extLst>
            <a:ext uri="{FF2B5EF4-FFF2-40B4-BE49-F238E27FC236}">
              <a16:creationId xmlns:a16="http://schemas.microsoft.com/office/drawing/2014/main" id="{00000000-0008-0000-0000-0000B0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16</xdr:col>
      <xdr:colOff>485775</xdr:colOff>
      <xdr:row>229</xdr:row>
      <xdr:rowOff>0</xdr:rowOff>
    </xdr:to>
    <xdr:graphicFrame macro="">
      <xdr:nvGraphicFramePr>
        <xdr:cNvPr id="3099825" name="Chart 49">
          <a:extLst>
            <a:ext uri="{FF2B5EF4-FFF2-40B4-BE49-F238E27FC236}">
              <a16:creationId xmlns:a16="http://schemas.microsoft.com/office/drawing/2014/main" id="{00000000-0008-0000-0000-0000B1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16</xdr:col>
      <xdr:colOff>504825</xdr:colOff>
      <xdr:row>229</xdr:row>
      <xdr:rowOff>0</xdr:rowOff>
    </xdr:to>
    <xdr:graphicFrame macro="">
      <xdr:nvGraphicFramePr>
        <xdr:cNvPr id="3099826" name="Chart 50">
          <a:extLst>
            <a:ext uri="{FF2B5EF4-FFF2-40B4-BE49-F238E27FC236}">
              <a16:creationId xmlns:a16="http://schemas.microsoft.com/office/drawing/2014/main" id="{00000000-0008-0000-0000-0000B2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38100</xdr:colOff>
      <xdr:row>229</xdr:row>
      <xdr:rowOff>0</xdr:rowOff>
    </xdr:from>
    <xdr:to>
      <xdr:col>16</xdr:col>
      <xdr:colOff>495300</xdr:colOff>
      <xdr:row>229</xdr:row>
      <xdr:rowOff>0</xdr:rowOff>
    </xdr:to>
    <xdr:graphicFrame macro="">
      <xdr:nvGraphicFramePr>
        <xdr:cNvPr id="3099827" name="Chart 51">
          <a:extLst>
            <a:ext uri="{FF2B5EF4-FFF2-40B4-BE49-F238E27FC236}">
              <a16:creationId xmlns:a16="http://schemas.microsoft.com/office/drawing/2014/main" id="{00000000-0008-0000-0000-0000B3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16</xdr:col>
      <xdr:colOff>514350</xdr:colOff>
      <xdr:row>229</xdr:row>
      <xdr:rowOff>0</xdr:rowOff>
    </xdr:to>
    <xdr:graphicFrame macro="">
      <xdr:nvGraphicFramePr>
        <xdr:cNvPr id="3099828" name="Chart 56">
          <a:extLst>
            <a:ext uri="{FF2B5EF4-FFF2-40B4-BE49-F238E27FC236}">
              <a16:creationId xmlns:a16="http://schemas.microsoft.com/office/drawing/2014/main" id="{00000000-0008-0000-0000-0000B4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19050</xdr:colOff>
      <xdr:row>229</xdr:row>
      <xdr:rowOff>0</xdr:rowOff>
    </xdr:from>
    <xdr:to>
      <xdr:col>16</xdr:col>
      <xdr:colOff>504825</xdr:colOff>
      <xdr:row>229</xdr:row>
      <xdr:rowOff>0</xdr:rowOff>
    </xdr:to>
    <xdr:graphicFrame macro="">
      <xdr:nvGraphicFramePr>
        <xdr:cNvPr id="3099829" name="Chart 60">
          <a:extLst>
            <a:ext uri="{FF2B5EF4-FFF2-40B4-BE49-F238E27FC236}">
              <a16:creationId xmlns:a16="http://schemas.microsoft.com/office/drawing/2014/main" id="{00000000-0008-0000-0000-0000B5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16</xdr:col>
      <xdr:colOff>514350</xdr:colOff>
      <xdr:row>229</xdr:row>
      <xdr:rowOff>0</xdr:rowOff>
    </xdr:to>
    <xdr:graphicFrame macro="">
      <xdr:nvGraphicFramePr>
        <xdr:cNvPr id="3099830" name="Chart 61">
          <a:extLst>
            <a:ext uri="{FF2B5EF4-FFF2-40B4-BE49-F238E27FC236}">
              <a16:creationId xmlns:a16="http://schemas.microsoft.com/office/drawing/2014/main" id="{00000000-0008-0000-0000-0000B6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19050</xdr:colOff>
      <xdr:row>229</xdr:row>
      <xdr:rowOff>0</xdr:rowOff>
    </xdr:from>
    <xdr:to>
      <xdr:col>16</xdr:col>
      <xdr:colOff>504825</xdr:colOff>
      <xdr:row>229</xdr:row>
      <xdr:rowOff>0</xdr:rowOff>
    </xdr:to>
    <xdr:graphicFrame macro="">
      <xdr:nvGraphicFramePr>
        <xdr:cNvPr id="3099831" name="Chart 62">
          <a:extLst>
            <a:ext uri="{FF2B5EF4-FFF2-40B4-BE49-F238E27FC236}">
              <a16:creationId xmlns:a16="http://schemas.microsoft.com/office/drawing/2014/main" id="{00000000-0008-0000-0000-0000B7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229</xdr:row>
      <xdr:rowOff>0</xdr:rowOff>
    </xdr:from>
    <xdr:to>
      <xdr:col>16</xdr:col>
      <xdr:colOff>476250</xdr:colOff>
      <xdr:row>229</xdr:row>
      <xdr:rowOff>0</xdr:rowOff>
    </xdr:to>
    <xdr:graphicFrame macro="">
      <xdr:nvGraphicFramePr>
        <xdr:cNvPr id="3099832" name="Chart 65">
          <a:extLst>
            <a:ext uri="{FF2B5EF4-FFF2-40B4-BE49-F238E27FC236}">
              <a16:creationId xmlns:a16="http://schemas.microsoft.com/office/drawing/2014/main" id="{00000000-0008-0000-0000-0000B8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132</xdr:row>
      <xdr:rowOff>47625</xdr:rowOff>
    </xdr:from>
    <xdr:to>
      <xdr:col>17</xdr:col>
      <xdr:colOff>36195</xdr:colOff>
      <xdr:row>163</xdr:row>
      <xdr:rowOff>100965</xdr:rowOff>
    </xdr:to>
    <xdr:graphicFrame macro="">
      <xdr:nvGraphicFramePr>
        <xdr:cNvPr id="3099833" name="Chart 87">
          <a:extLst>
            <a:ext uri="{FF2B5EF4-FFF2-40B4-BE49-F238E27FC236}">
              <a16:creationId xmlns:a16="http://schemas.microsoft.com/office/drawing/2014/main" id="{00000000-0008-0000-0000-0000B9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0</xdr:row>
      <xdr:rowOff>116205</xdr:rowOff>
    </xdr:from>
    <xdr:to>
      <xdr:col>17</xdr:col>
      <xdr:colOff>70485</xdr:colOff>
      <xdr:row>31</xdr:row>
      <xdr:rowOff>140970</xdr:rowOff>
    </xdr:to>
    <xdr:graphicFrame macro="">
      <xdr:nvGraphicFramePr>
        <xdr:cNvPr id="3099834" name="Chart 100">
          <a:extLst>
            <a:ext uri="{FF2B5EF4-FFF2-40B4-BE49-F238E27FC236}">
              <a16:creationId xmlns:a16="http://schemas.microsoft.com/office/drawing/2014/main" id="{00000000-0008-0000-0000-0000BA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33</xdr:row>
      <xdr:rowOff>68580</xdr:rowOff>
    </xdr:from>
    <xdr:to>
      <xdr:col>17</xdr:col>
      <xdr:colOff>47625</xdr:colOff>
      <xdr:row>61</xdr:row>
      <xdr:rowOff>150495</xdr:rowOff>
    </xdr:to>
    <xdr:graphicFrame macro="">
      <xdr:nvGraphicFramePr>
        <xdr:cNvPr id="3099835" name="Chart 101">
          <a:extLst>
            <a:ext uri="{FF2B5EF4-FFF2-40B4-BE49-F238E27FC236}">
              <a16:creationId xmlns:a16="http://schemas.microsoft.com/office/drawing/2014/main" id="{00000000-0008-0000-0000-0000BB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101</xdr:row>
      <xdr:rowOff>36195</xdr:rowOff>
    </xdr:from>
    <xdr:to>
      <xdr:col>17</xdr:col>
      <xdr:colOff>200025</xdr:colOff>
      <xdr:row>129</xdr:row>
      <xdr:rowOff>121920</xdr:rowOff>
    </xdr:to>
    <xdr:graphicFrame macro="">
      <xdr:nvGraphicFramePr>
        <xdr:cNvPr id="3099836" name="Chart 102">
          <a:extLst>
            <a:ext uri="{FF2B5EF4-FFF2-40B4-BE49-F238E27FC236}">
              <a16:creationId xmlns:a16="http://schemas.microsoft.com/office/drawing/2014/main" id="{00000000-0008-0000-0000-0000BC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293</xdr:row>
      <xdr:rowOff>118109</xdr:rowOff>
    </xdr:from>
    <xdr:to>
      <xdr:col>17</xdr:col>
      <xdr:colOff>131445</xdr:colOff>
      <xdr:row>331</xdr:row>
      <xdr:rowOff>100965</xdr:rowOff>
    </xdr:to>
    <xdr:graphicFrame macro="">
      <xdr:nvGraphicFramePr>
        <xdr:cNvPr id="3099837" name="Chart 103">
          <a:extLst>
            <a:ext uri="{FF2B5EF4-FFF2-40B4-BE49-F238E27FC236}">
              <a16:creationId xmlns:a16="http://schemas.microsoft.com/office/drawing/2014/main" id="{00000000-0008-0000-0000-0000BD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334</xdr:row>
      <xdr:rowOff>129540</xdr:rowOff>
    </xdr:from>
    <xdr:to>
      <xdr:col>16</xdr:col>
      <xdr:colOff>413385</xdr:colOff>
      <xdr:row>368</xdr:row>
      <xdr:rowOff>152400</xdr:rowOff>
    </xdr:to>
    <xdr:graphicFrame macro="">
      <xdr:nvGraphicFramePr>
        <xdr:cNvPr id="3099838" name="Chart 54">
          <a:extLst>
            <a:ext uri="{FF2B5EF4-FFF2-40B4-BE49-F238E27FC236}">
              <a16:creationId xmlns:a16="http://schemas.microsoft.com/office/drawing/2014/main" id="{00000000-0008-0000-0000-0000BE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63</xdr:row>
      <xdr:rowOff>55245</xdr:rowOff>
    </xdr:from>
    <xdr:to>
      <xdr:col>17</xdr:col>
      <xdr:colOff>3810</xdr:colOff>
      <xdr:row>96</xdr:row>
      <xdr:rowOff>140970</xdr:rowOff>
    </xdr:to>
    <xdr:graphicFrame macro="">
      <xdr:nvGraphicFramePr>
        <xdr:cNvPr id="3099839" name="Diagramma 1">
          <a:extLst>
            <a:ext uri="{FF2B5EF4-FFF2-40B4-BE49-F238E27FC236}">
              <a16:creationId xmlns:a16="http://schemas.microsoft.com/office/drawing/2014/main" id="{00000000-0008-0000-0000-0000BF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71"/>
  <sheetViews>
    <sheetView tabSelected="1" workbookViewId="0">
      <selection activeCell="W30" sqref="W30"/>
    </sheetView>
  </sheetViews>
  <sheetFormatPr defaultColWidth="9.33203125" defaultRowHeight="13.2" outlineLevelRow="1" x14ac:dyDescent="0.25"/>
  <cols>
    <col min="1" max="1" width="31" style="9" bestFit="1" customWidth="1"/>
    <col min="2" max="7" width="9.6640625" style="1" customWidth="1"/>
    <col min="8" max="9" width="10.6640625" style="1" customWidth="1"/>
    <col min="10" max="10" width="12.33203125" style="1" customWidth="1"/>
    <col min="11" max="11" width="8.44140625" style="1" customWidth="1"/>
    <col min="12" max="16" width="4.77734375" style="1" customWidth="1"/>
    <col min="17" max="17" width="12.33203125" style="1" customWidth="1"/>
    <col min="18" max="18" width="3.77734375" style="1" customWidth="1"/>
    <col min="19" max="19" width="1.33203125" style="3" customWidth="1"/>
    <col min="20" max="20" width="9.33203125" style="1"/>
    <col min="21" max="21" width="9.33203125" style="2"/>
    <col min="22" max="16384" width="9.33203125" style="1"/>
  </cols>
  <sheetData>
    <row r="2" spans="1:5" x14ac:dyDescent="0.25">
      <c r="C2" s="1" t="s">
        <v>35</v>
      </c>
      <c r="D2" s="1" t="s">
        <v>36</v>
      </c>
      <c r="E2" s="1" t="s">
        <v>37</v>
      </c>
    </row>
    <row r="3" spans="1:5" x14ac:dyDescent="0.25">
      <c r="A3" s="9">
        <v>1995</v>
      </c>
      <c r="C3" s="5">
        <f>90/0.702804</f>
        <v>128.05846295695528</v>
      </c>
      <c r="D3" s="5">
        <f>87/0.702804</f>
        <v>123.78984752505677</v>
      </c>
      <c r="E3" s="5"/>
    </row>
    <row r="4" spans="1:5" x14ac:dyDescent="0.25">
      <c r="A4" s="9">
        <v>2000</v>
      </c>
      <c r="B4" s="5"/>
      <c r="C4" s="5">
        <f>150/0.702804</f>
        <v>213.43077159492549</v>
      </c>
      <c r="D4" s="5">
        <f>134/0.702804</f>
        <v>190.66482262480008</v>
      </c>
      <c r="E4" s="5"/>
    </row>
    <row r="5" spans="1:5" hidden="1" outlineLevel="1" x14ac:dyDescent="0.25">
      <c r="A5" s="9">
        <v>2001</v>
      </c>
      <c r="B5" s="5"/>
      <c r="C5" s="5">
        <f>159/0.702804</f>
        <v>226.23661789062101</v>
      </c>
      <c r="D5" s="5">
        <f>148/0.702804</f>
        <v>210.58502797365981</v>
      </c>
      <c r="E5" s="5"/>
    </row>
    <row r="6" spans="1:5" hidden="1" outlineLevel="1" x14ac:dyDescent="0.25">
      <c r="A6" s="9">
        <v>2002</v>
      </c>
      <c r="B6" s="5"/>
      <c r="C6" s="5">
        <f>173/0.702804</f>
        <v>246.1568232394807</v>
      </c>
      <c r="D6" s="5">
        <f>169/0.702804</f>
        <v>240.46533599694936</v>
      </c>
      <c r="E6" s="5"/>
    </row>
    <row r="7" spans="1:5" hidden="1" outlineLevel="1" x14ac:dyDescent="0.25">
      <c r="A7" s="9">
        <v>2003</v>
      </c>
      <c r="B7" s="5"/>
      <c r="C7" s="5">
        <f>192/0.702804</f>
        <v>273.1913876415046</v>
      </c>
      <c r="D7" s="5">
        <f>170/0.702804</f>
        <v>241.88820780758221</v>
      </c>
      <c r="E7" s="5"/>
    </row>
    <row r="8" spans="1:5" hidden="1" outlineLevel="1" x14ac:dyDescent="0.25">
      <c r="A8" s="9">
        <v>2004</v>
      </c>
      <c r="B8" s="5"/>
      <c r="C8" s="5">
        <f>211/0.702804</f>
        <v>300.22595204352848</v>
      </c>
      <c r="D8" s="5">
        <f>188/0.702804</f>
        <v>267.49990039897324</v>
      </c>
      <c r="E8" s="5">
        <f>71.09/0.702804</f>
        <v>101.15195701788835</v>
      </c>
    </row>
    <row r="9" spans="1:5" collapsed="1" x14ac:dyDescent="0.25">
      <c r="A9" s="9">
        <v>2005</v>
      </c>
      <c r="B9" s="5"/>
      <c r="C9" s="5">
        <f>246/0.702804</f>
        <v>350.02646541567776</v>
      </c>
      <c r="D9" s="5">
        <f>205.66/0.702804</f>
        <v>292.62781657474915</v>
      </c>
      <c r="E9" s="5">
        <f>81.71/0.702804</f>
        <v>116.26285564680906</v>
      </c>
    </row>
    <row r="10" spans="1:5" hidden="1" outlineLevel="1" x14ac:dyDescent="0.25">
      <c r="A10" s="9">
        <v>2006</v>
      </c>
      <c r="B10" s="5"/>
      <c r="C10" s="5">
        <f>302/0.702804</f>
        <v>429.7072868111166</v>
      </c>
      <c r="D10" s="5">
        <f>249/0.702804</f>
        <v>354.29508084757629</v>
      </c>
      <c r="E10" s="5">
        <f>95/0.702804</f>
        <v>135.17282201011946</v>
      </c>
    </row>
    <row r="11" spans="1:5" hidden="1" outlineLevel="1" x14ac:dyDescent="0.25">
      <c r="A11" s="9">
        <v>2007</v>
      </c>
      <c r="B11" s="5"/>
      <c r="C11" s="5">
        <f>380/0.702804</f>
        <v>540.69128804047784</v>
      </c>
      <c r="D11" s="5">
        <f>348/0.702804</f>
        <v>495.15939010022709</v>
      </c>
      <c r="E11" s="5">
        <f>120/0.702804</f>
        <v>170.74461727594039</v>
      </c>
    </row>
    <row r="12" spans="1:5" hidden="1" outlineLevel="1" x14ac:dyDescent="0.25">
      <c r="A12" s="9">
        <v>2008</v>
      </c>
      <c r="C12" s="5">
        <f>456/0.702804</f>
        <v>648.82954564857346</v>
      </c>
      <c r="D12" s="5">
        <f>416/0.702804</f>
        <v>591.91467322326002</v>
      </c>
      <c r="E12" s="5">
        <f>135/0.702804</f>
        <v>192.08769443543292</v>
      </c>
    </row>
    <row r="13" spans="1:5" hidden="1" outlineLevel="1" x14ac:dyDescent="0.25">
      <c r="A13" s="9">
        <v>2009</v>
      </c>
      <c r="B13" s="5"/>
      <c r="C13" s="5">
        <f>418/0.702804</f>
        <v>594.76041684452571</v>
      </c>
      <c r="D13" s="5">
        <f>379/0.702804</f>
        <v>539.268416229845</v>
      </c>
      <c r="E13" s="5">
        <f>164/0.702804</f>
        <v>233.35097694378518</v>
      </c>
    </row>
    <row r="14" spans="1:5" collapsed="1" x14ac:dyDescent="0.25">
      <c r="A14" s="9">
        <v>2010</v>
      </c>
      <c r="C14" s="5">
        <f>403/0.702804</f>
        <v>573.41733968503308</v>
      </c>
      <c r="D14" s="5">
        <f>367/0.702804</f>
        <v>522.19395450225102</v>
      </c>
      <c r="E14" s="5">
        <f>182/0.702804</f>
        <v>258.96266953517625</v>
      </c>
    </row>
    <row r="15" spans="1:5" hidden="1" outlineLevel="1" x14ac:dyDescent="0.25">
      <c r="A15" s="9">
        <v>2011</v>
      </c>
      <c r="B15" s="5"/>
      <c r="C15" s="5">
        <f>407/0.702804</f>
        <v>579.10882692756445</v>
      </c>
      <c r="D15" s="5">
        <f>370/0.702804</f>
        <v>526.46256993414954</v>
      </c>
      <c r="E15" s="5">
        <f>178.3/0.702804</f>
        <v>253.69804383583477</v>
      </c>
    </row>
    <row r="16" spans="1:5" hidden="1" outlineLevel="1" x14ac:dyDescent="0.25">
      <c r="A16" s="32">
        <v>2012</v>
      </c>
      <c r="B16" s="5"/>
      <c r="C16" s="5">
        <f>421/0.702804</f>
        <v>599.02903227642412</v>
      </c>
      <c r="D16" s="5">
        <f>395/0.702804</f>
        <v>562.03436519997047</v>
      </c>
      <c r="E16" s="5">
        <f>180.45/0.702804</f>
        <v>256.75721822869531</v>
      </c>
    </row>
    <row r="17" spans="1:5" hidden="1" outlineLevel="1" x14ac:dyDescent="0.25">
      <c r="A17" s="9">
        <v>2013</v>
      </c>
      <c r="C17" s="5">
        <v>626.36</v>
      </c>
      <c r="D17" s="5">
        <v>566.61</v>
      </c>
      <c r="E17" s="5">
        <f>183.43/0.702804</f>
        <v>260.99737622438118</v>
      </c>
    </row>
    <row r="18" spans="1:5" hidden="1" outlineLevel="1" x14ac:dyDescent="0.25">
      <c r="A18" s="9">
        <v>2014</v>
      </c>
      <c r="C18" s="5">
        <v>654.53</v>
      </c>
      <c r="D18" s="5">
        <v>592.04</v>
      </c>
      <c r="E18" s="5">
        <f>268.27</f>
        <v>268.27</v>
      </c>
    </row>
    <row r="19" spans="1:5" collapsed="1" x14ac:dyDescent="0.25">
      <c r="A19" s="9">
        <v>2015</v>
      </c>
      <c r="C19" s="1">
        <v>693</v>
      </c>
      <c r="D19" s="1">
        <v>624</v>
      </c>
      <c r="E19" s="5">
        <v>274.97000000000003</v>
      </c>
    </row>
    <row r="20" spans="1:5" x14ac:dyDescent="0.25">
      <c r="A20" s="9">
        <v>2016</v>
      </c>
      <c r="C20" s="1">
        <v>743</v>
      </c>
      <c r="D20" s="1">
        <v>660</v>
      </c>
      <c r="E20" s="1">
        <v>281</v>
      </c>
    </row>
    <row r="21" spans="1:5" x14ac:dyDescent="0.25">
      <c r="A21" s="9">
        <v>2017</v>
      </c>
      <c r="C21" s="1">
        <v>813</v>
      </c>
      <c r="D21" s="1">
        <v>719</v>
      </c>
      <c r="E21" s="1">
        <v>290</v>
      </c>
    </row>
    <row r="22" spans="1:5" x14ac:dyDescent="0.25">
      <c r="A22" s="9">
        <v>2018</v>
      </c>
      <c r="C22" s="1">
        <v>887</v>
      </c>
      <c r="D22" s="1">
        <v>776</v>
      </c>
      <c r="E22" s="5">
        <v>314.42</v>
      </c>
    </row>
    <row r="23" spans="1:5" x14ac:dyDescent="0.25">
      <c r="A23" s="9">
        <v>2019</v>
      </c>
      <c r="C23" s="1">
        <v>953</v>
      </c>
      <c r="D23" s="1">
        <v>830</v>
      </c>
      <c r="E23" s="1">
        <v>341</v>
      </c>
    </row>
    <row r="24" spans="1:5" x14ac:dyDescent="0.25">
      <c r="A24" s="9">
        <v>2020</v>
      </c>
      <c r="C24" s="1">
        <v>989</v>
      </c>
      <c r="D24" s="1">
        <v>867</v>
      </c>
      <c r="E24" s="1">
        <v>368</v>
      </c>
    </row>
    <row r="25" spans="1:5" x14ac:dyDescent="0.25">
      <c r="A25" s="9">
        <v>2021</v>
      </c>
      <c r="C25" s="1">
        <v>1128</v>
      </c>
      <c r="D25" s="1">
        <v>982</v>
      </c>
      <c r="E25" s="1">
        <v>392</v>
      </c>
    </row>
    <row r="26" spans="1:5" x14ac:dyDescent="0.25">
      <c r="A26" s="9">
        <v>2022</v>
      </c>
      <c r="C26" s="1">
        <v>1275</v>
      </c>
      <c r="D26" s="1">
        <v>1103</v>
      </c>
      <c r="E26" s="1">
        <v>450</v>
      </c>
    </row>
    <row r="33" spans="1:5" s="3" customFormat="1" ht="5.25" customHeight="1" x14ac:dyDescent="0.25">
      <c r="A33" s="33"/>
    </row>
    <row r="35" spans="1:5" x14ac:dyDescent="0.25">
      <c r="B35" s="1" t="s">
        <v>38</v>
      </c>
      <c r="C35" s="11" t="s">
        <v>39</v>
      </c>
      <c r="D35" s="1" t="s">
        <v>40</v>
      </c>
    </row>
    <row r="36" spans="1:5" x14ac:dyDescent="0.25">
      <c r="A36" s="15">
        <v>2003</v>
      </c>
      <c r="B36" s="20">
        <f>170.17/0.702804</f>
        <v>242.13009601538977</v>
      </c>
      <c r="C36" s="20">
        <f>185/0.702804</f>
        <v>263.23128496707477</v>
      </c>
      <c r="D36" s="13"/>
      <c r="E36" s="13"/>
    </row>
    <row r="37" spans="1:5" x14ac:dyDescent="0.25">
      <c r="A37" s="15">
        <v>2004</v>
      </c>
      <c r="B37" s="20">
        <f>188.356/0.702804</f>
        <v>268.00644276355854</v>
      </c>
      <c r="C37" s="20">
        <f>216/0.702804</f>
        <v>307.34031109669269</v>
      </c>
      <c r="D37" s="13"/>
      <c r="E37" s="13"/>
    </row>
    <row r="38" spans="1:5" x14ac:dyDescent="0.25">
      <c r="A38" s="15">
        <v>2005</v>
      </c>
      <c r="B38" s="20">
        <f>205.66/0.702804</f>
        <v>292.62781657474915</v>
      </c>
      <c r="C38" s="20">
        <f>247/0.702804</f>
        <v>351.4493372263106</v>
      </c>
      <c r="D38" s="13"/>
      <c r="E38" s="13"/>
    </row>
    <row r="39" spans="1:5" hidden="1" outlineLevel="1" x14ac:dyDescent="0.25">
      <c r="A39" s="15">
        <v>2006</v>
      </c>
      <c r="B39" s="20">
        <f>249/0.702804</f>
        <v>354.29508084757629</v>
      </c>
      <c r="C39" s="20">
        <f>301/0.702804</f>
        <v>428.28441500048376</v>
      </c>
      <c r="D39" s="13"/>
      <c r="E39" s="13"/>
    </row>
    <row r="40" spans="1:5" hidden="1" outlineLevel="1" x14ac:dyDescent="0.25">
      <c r="A40" s="15">
        <v>2007</v>
      </c>
      <c r="B40" s="20">
        <f>348/0.702804</f>
        <v>495.15939010022709</v>
      </c>
      <c r="C40" s="20">
        <f>405/0.702804</f>
        <v>576.26308330629877</v>
      </c>
      <c r="D40" s="20">
        <f>417/0.702804</f>
        <v>593.33754503389287</v>
      </c>
      <c r="E40" s="13"/>
    </row>
    <row r="41" spans="1:5" hidden="1" outlineLevel="1" x14ac:dyDescent="0.25">
      <c r="A41" s="15">
        <v>2008</v>
      </c>
      <c r="B41" s="20">
        <f>416/0.702804</f>
        <v>591.91467322326002</v>
      </c>
      <c r="C41" s="20">
        <f>478/0.702804</f>
        <v>680.13272548249586</v>
      </c>
      <c r="D41" s="20">
        <f>487/0.702804</f>
        <v>692.93857177819143</v>
      </c>
      <c r="E41" s="13"/>
    </row>
    <row r="42" spans="1:5" hidden="1" outlineLevel="1" x14ac:dyDescent="0.25">
      <c r="A42" s="15">
        <v>2009</v>
      </c>
      <c r="B42" s="20">
        <f>379/0.702804</f>
        <v>539.268416229845</v>
      </c>
      <c r="C42" s="20">
        <f>436/0.702804</f>
        <v>620.37210943591674</v>
      </c>
      <c r="D42" s="20">
        <f>432/0.702804</f>
        <v>614.68062219338537</v>
      </c>
      <c r="E42" s="13"/>
    </row>
    <row r="43" spans="1:5" collapsed="1" x14ac:dyDescent="0.25">
      <c r="A43" s="15">
        <v>2010</v>
      </c>
      <c r="B43" s="20">
        <f>367/0.702804</f>
        <v>522.19395450225102</v>
      </c>
      <c r="C43" s="20">
        <f>401/0.702804</f>
        <v>570.5715960637674</v>
      </c>
      <c r="D43" s="20">
        <f>454/0.702804</f>
        <v>645.98380202730777</v>
      </c>
      <c r="E43" s="13"/>
    </row>
    <row r="44" spans="1:5" hidden="1" outlineLevel="1" x14ac:dyDescent="0.25">
      <c r="A44" s="15">
        <v>2011</v>
      </c>
      <c r="B44" s="20">
        <f>370/0.702804</f>
        <v>526.46256993414954</v>
      </c>
      <c r="C44" s="20">
        <f>414/0.702804</f>
        <v>589.06892960199434</v>
      </c>
      <c r="D44" s="20">
        <f>464/0.702804</f>
        <v>660.21252013363619</v>
      </c>
      <c r="E44" s="13"/>
    </row>
    <row r="45" spans="1:5" hidden="1" outlineLevel="1" x14ac:dyDescent="0.25">
      <c r="A45" s="21">
        <v>2012</v>
      </c>
      <c r="B45" s="20">
        <f>395/0.702804</f>
        <v>562.03436519997047</v>
      </c>
      <c r="C45" s="20">
        <f>430/0.702804</f>
        <v>611.83487857211969</v>
      </c>
      <c r="D45" s="20">
        <f>519/0.702804</f>
        <v>738.47046971844213</v>
      </c>
      <c r="E45" s="13"/>
    </row>
    <row r="46" spans="1:5" hidden="1" outlineLevel="1" x14ac:dyDescent="0.25">
      <c r="A46" s="15">
        <v>2013</v>
      </c>
      <c r="B46" s="20">
        <v>566.61</v>
      </c>
      <c r="C46" s="20">
        <v>662</v>
      </c>
      <c r="D46" s="20">
        <v>693</v>
      </c>
      <c r="E46" s="13"/>
    </row>
    <row r="47" spans="1:5" hidden="1" outlineLevel="1" x14ac:dyDescent="0.25">
      <c r="A47" s="15">
        <v>2014</v>
      </c>
      <c r="B47" s="20">
        <v>592.04</v>
      </c>
      <c r="C47" s="20">
        <v>684</v>
      </c>
      <c r="D47" s="20">
        <v>783</v>
      </c>
      <c r="E47" s="13"/>
    </row>
    <row r="48" spans="1:5" collapsed="1" x14ac:dyDescent="0.25">
      <c r="A48" s="15">
        <v>2015</v>
      </c>
      <c r="B48" s="13">
        <v>624</v>
      </c>
      <c r="C48" s="13">
        <v>725</v>
      </c>
      <c r="D48" s="13">
        <v>890</v>
      </c>
      <c r="E48" s="13"/>
    </row>
    <row r="49" spans="1:5" x14ac:dyDescent="0.25">
      <c r="A49" s="15">
        <v>2016</v>
      </c>
      <c r="B49" s="13">
        <v>660</v>
      </c>
      <c r="C49" s="13">
        <v>760</v>
      </c>
      <c r="D49" s="13">
        <v>946</v>
      </c>
      <c r="E49" s="13"/>
    </row>
    <row r="50" spans="1:5" x14ac:dyDescent="0.25">
      <c r="A50" s="15">
        <v>2017</v>
      </c>
      <c r="B50" s="13">
        <v>719</v>
      </c>
      <c r="C50" s="13">
        <v>823</v>
      </c>
      <c r="D50" s="13">
        <v>977</v>
      </c>
      <c r="E50" s="13"/>
    </row>
    <row r="51" spans="1:5" x14ac:dyDescent="0.25">
      <c r="A51" s="15">
        <v>2018</v>
      </c>
      <c r="B51" s="13">
        <v>776</v>
      </c>
      <c r="C51" s="13">
        <v>873</v>
      </c>
      <c r="D51" s="13">
        <v>1073</v>
      </c>
      <c r="E51" s="13"/>
    </row>
    <row r="52" spans="1:5" x14ac:dyDescent="0.25">
      <c r="A52" s="15">
        <v>2019</v>
      </c>
      <c r="B52" s="13">
        <v>830</v>
      </c>
      <c r="C52" s="13">
        <v>939</v>
      </c>
      <c r="D52" s="13">
        <v>1158</v>
      </c>
      <c r="E52" s="13"/>
    </row>
    <row r="53" spans="1:5" x14ac:dyDescent="0.25">
      <c r="A53" s="9">
        <v>2020</v>
      </c>
      <c r="B53" s="1">
        <v>867</v>
      </c>
      <c r="C53" s="1">
        <v>1038</v>
      </c>
      <c r="D53" s="1">
        <v>1245</v>
      </c>
    </row>
    <row r="54" spans="1:5" x14ac:dyDescent="0.25">
      <c r="A54" s="9">
        <v>2021</v>
      </c>
      <c r="B54" s="1">
        <v>982</v>
      </c>
      <c r="C54" s="1">
        <v>1152</v>
      </c>
      <c r="D54" s="1">
        <v>1389</v>
      </c>
    </row>
    <row r="55" spans="1:5" x14ac:dyDescent="0.25">
      <c r="A55" s="9">
        <v>2022</v>
      </c>
      <c r="B55" s="1">
        <v>1103</v>
      </c>
      <c r="C55" s="1">
        <v>1221</v>
      </c>
    </row>
    <row r="64" spans="1:5" s="3" customFormat="1" ht="5.25" customHeight="1" x14ac:dyDescent="0.25">
      <c r="A64" s="33"/>
    </row>
    <row r="66" spans="1:11" x14ac:dyDescent="0.25">
      <c r="B66" s="1" t="s">
        <v>0</v>
      </c>
      <c r="C66" s="1" t="s">
        <v>1</v>
      </c>
      <c r="D66" s="1" t="s">
        <v>2</v>
      </c>
      <c r="E66" s="1" t="s">
        <v>3</v>
      </c>
      <c r="F66" s="1" t="s">
        <v>27</v>
      </c>
      <c r="G66" s="1" t="s">
        <v>4</v>
      </c>
      <c r="H66" s="1" t="s">
        <v>5</v>
      </c>
      <c r="I66" s="1" t="s">
        <v>29</v>
      </c>
      <c r="J66" s="1" t="s">
        <v>30</v>
      </c>
      <c r="K66" s="1" t="s">
        <v>7</v>
      </c>
    </row>
    <row r="67" spans="1:11" x14ac:dyDescent="0.25">
      <c r="A67" s="9">
        <v>2005</v>
      </c>
      <c r="B67" s="5">
        <f>246/0.702804</f>
        <v>350.02646541567776</v>
      </c>
      <c r="C67" s="5">
        <f>266/0.702804</f>
        <v>378.48390162833454</v>
      </c>
      <c r="D67" s="5">
        <f>190/0.702804</f>
        <v>270.34564402023892</v>
      </c>
      <c r="E67" s="5">
        <f>240/0.702804</f>
        <v>341.48923455188077</v>
      </c>
      <c r="F67" s="5"/>
      <c r="G67" s="5">
        <f>258/0.702804</f>
        <v>367.1009271432718</v>
      </c>
      <c r="H67" s="5">
        <f>206/0.702804</f>
        <v>293.11159299036433</v>
      </c>
      <c r="I67" s="5">
        <f>205/0.702804</f>
        <v>291.68872117973149</v>
      </c>
      <c r="J67" s="5"/>
      <c r="K67" s="5">
        <f>264/0.702804</f>
        <v>375.63815800706885</v>
      </c>
    </row>
    <row r="68" spans="1:11" hidden="1" outlineLevel="1" x14ac:dyDescent="0.25">
      <c r="A68" s="9">
        <v>2006</v>
      </c>
      <c r="B68" s="5">
        <f>302/0.702804</f>
        <v>429.7072868111166</v>
      </c>
      <c r="C68" s="5">
        <f>323/0.702804</f>
        <v>459.58759483440616</v>
      </c>
      <c r="D68" s="5">
        <f>199/0.702804</f>
        <v>283.15149031593444</v>
      </c>
      <c r="E68" s="5">
        <f>233/0.702804</f>
        <v>331.52913187745088</v>
      </c>
      <c r="G68" s="5">
        <f>207/0.702804</f>
        <v>294.53446480099717</v>
      </c>
      <c r="H68" s="5">
        <f>249/0.702804</f>
        <v>354.29508084757629</v>
      </c>
      <c r="I68" s="5">
        <f>212/0.702804</f>
        <v>301.64882385416132</v>
      </c>
      <c r="K68" s="5">
        <f>303/0.702804</f>
        <v>431.13015862174944</v>
      </c>
    </row>
    <row r="69" spans="1:11" hidden="1" outlineLevel="1" x14ac:dyDescent="0.25">
      <c r="A69" s="9">
        <v>2007</v>
      </c>
      <c r="B69" s="5">
        <f>380/0.702804</f>
        <v>540.69128804047784</v>
      </c>
      <c r="C69" s="5">
        <f>431/0.702804</f>
        <v>613.25775038275253</v>
      </c>
      <c r="D69" s="5">
        <f>307/0.702804</f>
        <v>436.82164586428081</v>
      </c>
      <c r="E69" s="5">
        <f>403/0.702804</f>
        <v>573.41733968503308</v>
      </c>
      <c r="G69" s="5">
        <f>418/0.702804</f>
        <v>594.76041684452571</v>
      </c>
      <c r="H69" s="5">
        <f>348/0.702804</f>
        <v>495.15939010022709</v>
      </c>
      <c r="I69" s="5">
        <f>334/0.702804</f>
        <v>475.23918475136742</v>
      </c>
      <c r="K69" s="5">
        <f>423/0.702804</f>
        <v>601.8747758976898</v>
      </c>
    </row>
    <row r="70" spans="1:11" hidden="1" outlineLevel="1" x14ac:dyDescent="0.25">
      <c r="A70" s="9">
        <v>2008</v>
      </c>
      <c r="B70" s="5">
        <f>456/0.702804</f>
        <v>648.82954564857346</v>
      </c>
      <c r="C70" s="5">
        <f>512/0.702804</f>
        <v>728.51036704401224</v>
      </c>
      <c r="D70" s="5">
        <f>375/0.702804</f>
        <v>533.57692898731364</v>
      </c>
      <c r="E70" s="5">
        <f>476/0.702804</f>
        <v>677.28698186123017</v>
      </c>
      <c r="G70" s="5">
        <f>499/0.702804</f>
        <v>710.01303350578542</v>
      </c>
      <c r="H70" s="5">
        <f>416/0.702804</f>
        <v>591.91467322326002</v>
      </c>
      <c r="I70" s="5">
        <f>404/0.702804</f>
        <v>574.84021149566593</v>
      </c>
      <c r="K70" s="5">
        <f>508/0.702804</f>
        <v>722.81887980148099</v>
      </c>
    </row>
    <row r="71" spans="1:11" hidden="1" outlineLevel="1" x14ac:dyDescent="0.25">
      <c r="A71" s="9">
        <v>2009</v>
      </c>
      <c r="B71" s="5">
        <f>418/0.702804</f>
        <v>594.76041684452571</v>
      </c>
      <c r="C71" s="5">
        <f>474/0.702804</f>
        <v>674.44123823996449</v>
      </c>
      <c r="D71" s="5">
        <f>345/0.702804</f>
        <v>490.89077466832862</v>
      </c>
      <c r="E71" s="5">
        <f>427/0.702804</f>
        <v>607.56626314022117</v>
      </c>
      <c r="G71" s="5">
        <f>475/0.702804</f>
        <v>675.86411005059733</v>
      </c>
      <c r="H71" s="5">
        <f>379/0.702804</f>
        <v>539.268416229845</v>
      </c>
      <c r="I71" s="5">
        <f>369/0.702804</f>
        <v>525.0396981235167</v>
      </c>
      <c r="K71" s="5">
        <f>474/0.702804</f>
        <v>674.44123823996449</v>
      </c>
    </row>
    <row r="72" spans="1:11" collapsed="1" x14ac:dyDescent="0.25">
      <c r="A72" s="9">
        <v>2010</v>
      </c>
      <c r="B72" s="5">
        <f>403/0.702804</f>
        <v>573.41733968503308</v>
      </c>
      <c r="C72" s="5">
        <f>450/0.702804</f>
        <v>640.29231478477641</v>
      </c>
      <c r="D72" s="5">
        <f>352/0.702804</f>
        <v>500.85087734275845</v>
      </c>
      <c r="E72" s="5">
        <f>418/0.702804</f>
        <v>594.76041684452571</v>
      </c>
      <c r="G72" s="5">
        <f>456/0.702804</f>
        <v>648.82954564857346</v>
      </c>
      <c r="H72" s="5">
        <f>367/0.702804</f>
        <v>522.19395450225102</v>
      </c>
      <c r="I72" s="5">
        <f>365/0.702804</f>
        <v>519.34821088098533</v>
      </c>
      <c r="K72" s="5">
        <f>473/0.702804</f>
        <v>673.01836642933165</v>
      </c>
    </row>
    <row r="73" spans="1:11" hidden="1" outlineLevel="1" x14ac:dyDescent="0.25">
      <c r="A73" s="9">
        <v>2011</v>
      </c>
      <c r="B73" s="5">
        <f>407/0.702804</f>
        <v>579.10882692756445</v>
      </c>
      <c r="C73" s="5">
        <f>453/0.702804</f>
        <v>644.56093021667493</v>
      </c>
      <c r="D73" s="5">
        <f>353/0.702804</f>
        <v>502.27374915339129</v>
      </c>
      <c r="E73" s="5">
        <f>418/0.702804</f>
        <v>594.76041684452571</v>
      </c>
      <c r="G73" s="5">
        <f>457/0.702804</f>
        <v>650.2524174592063</v>
      </c>
      <c r="H73" s="5">
        <f>370/0.702804</f>
        <v>526.46256993414954</v>
      </c>
      <c r="I73" s="5">
        <f>360/0.702804</f>
        <v>512.23385182782113</v>
      </c>
      <c r="K73" s="5">
        <f>472/0.702804</f>
        <v>671.59549461869881</v>
      </c>
    </row>
    <row r="74" spans="1:11" hidden="1" outlineLevel="1" x14ac:dyDescent="0.25">
      <c r="A74" s="9">
        <v>2012</v>
      </c>
      <c r="B74" s="5">
        <f>421/0.702804</f>
        <v>599.02903227642412</v>
      </c>
      <c r="C74" s="5">
        <f>469/0.702804</f>
        <v>667.32687918680028</v>
      </c>
      <c r="D74" s="5">
        <f>367/0.702804</f>
        <v>522.19395450225102</v>
      </c>
      <c r="E74" s="5">
        <f>433/0.702804</f>
        <v>616.10349400401822</v>
      </c>
      <c r="G74" s="5">
        <f>482/0.702804</f>
        <v>685.82421272502722</v>
      </c>
      <c r="H74" s="5">
        <f>395/0.702804</f>
        <v>562.03436519997047</v>
      </c>
      <c r="I74" s="5">
        <f>369/0.702804</f>
        <v>525.0396981235167</v>
      </c>
      <c r="K74" s="5">
        <f>487/0.702804</f>
        <v>692.93857177819143</v>
      </c>
    </row>
    <row r="75" spans="1:11" hidden="1" outlineLevel="1" x14ac:dyDescent="0.25">
      <c r="A75" s="9">
        <v>2013</v>
      </c>
      <c r="B75" s="5">
        <v>626.36</v>
      </c>
      <c r="C75" s="5">
        <v>694.41</v>
      </c>
      <c r="D75" s="5">
        <v>535.33000000000004</v>
      </c>
      <c r="E75" s="5">
        <v>639.66999999999996</v>
      </c>
      <c r="F75" s="5">
        <v>544.82000000000005</v>
      </c>
      <c r="G75" s="5">
        <v>716.42</v>
      </c>
      <c r="H75" s="5">
        <v>566.61</v>
      </c>
      <c r="I75" s="5">
        <v>539.89</v>
      </c>
      <c r="J75" s="5">
        <v>642.08000000000004</v>
      </c>
      <c r="K75" s="5">
        <v>717.33</v>
      </c>
    </row>
    <row r="76" spans="1:11" hidden="1" outlineLevel="1" x14ac:dyDescent="0.25">
      <c r="A76" s="9">
        <v>2014</v>
      </c>
      <c r="B76" s="5">
        <v>654.53</v>
      </c>
      <c r="C76" s="5">
        <v>718.14</v>
      </c>
      <c r="D76" s="5">
        <v>565.94000000000005</v>
      </c>
      <c r="E76" s="5">
        <v>675.88</v>
      </c>
      <c r="F76" s="5">
        <v>577.49</v>
      </c>
      <c r="G76" s="5">
        <v>723.58</v>
      </c>
      <c r="H76" s="5">
        <v>592.04</v>
      </c>
      <c r="I76" s="5">
        <v>572.84</v>
      </c>
      <c r="J76" s="5">
        <v>672.38</v>
      </c>
      <c r="K76" s="5">
        <v>743.18</v>
      </c>
    </row>
    <row r="77" spans="1:11" collapsed="1" x14ac:dyDescent="0.25">
      <c r="A77" s="9">
        <v>2015</v>
      </c>
      <c r="B77" s="1">
        <v>693</v>
      </c>
      <c r="C77" s="1">
        <v>763</v>
      </c>
      <c r="D77" s="1">
        <v>588</v>
      </c>
      <c r="E77" s="1">
        <v>713</v>
      </c>
      <c r="F77" s="1">
        <v>602</v>
      </c>
      <c r="G77" s="1">
        <v>758</v>
      </c>
      <c r="H77" s="1">
        <v>624</v>
      </c>
      <c r="I77" s="1">
        <v>606</v>
      </c>
      <c r="J77" s="1">
        <v>703</v>
      </c>
      <c r="K77" s="1">
        <v>769</v>
      </c>
    </row>
    <row r="78" spans="1:11" x14ac:dyDescent="0.25">
      <c r="A78" s="9">
        <v>2016</v>
      </c>
      <c r="B78" s="1">
        <v>743</v>
      </c>
      <c r="C78" s="1">
        <v>824</v>
      </c>
      <c r="D78" s="1">
        <v>607</v>
      </c>
      <c r="E78" s="1">
        <v>754</v>
      </c>
      <c r="F78" s="1">
        <v>639</v>
      </c>
      <c r="G78" s="1">
        <v>831</v>
      </c>
      <c r="H78" s="1">
        <v>660</v>
      </c>
      <c r="I78" s="1">
        <v>631</v>
      </c>
      <c r="J78" s="1">
        <v>741</v>
      </c>
      <c r="K78" s="1">
        <v>791</v>
      </c>
    </row>
    <row r="79" spans="1:11" x14ac:dyDescent="0.25">
      <c r="A79" s="9">
        <v>2017</v>
      </c>
      <c r="B79" s="1">
        <v>813</v>
      </c>
      <c r="C79" s="1">
        <v>902</v>
      </c>
      <c r="D79" s="1">
        <v>650</v>
      </c>
      <c r="E79" s="1">
        <v>816</v>
      </c>
      <c r="F79" s="1">
        <v>691</v>
      </c>
      <c r="G79" s="1">
        <v>906</v>
      </c>
      <c r="H79" s="1">
        <v>719</v>
      </c>
      <c r="I79" s="1">
        <v>674</v>
      </c>
      <c r="J79" s="1">
        <v>795</v>
      </c>
      <c r="K79" s="1">
        <v>841</v>
      </c>
    </row>
    <row r="80" spans="1:11" x14ac:dyDescent="0.25">
      <c r="A80" s="9">
        <v>2018</v>
      </c>
      <c r="B80" s="1">
        <v>887</v>
      </c>
      <c r="C80" s="1">
        <v>984</v>
      </c>
      <c r="D80" s="1">
        <v>702</v>
      </c>
      <c r="E80" s="1">
        <v>891</v>
      </c>
      <c r="F80" s="1">
        <v>758</v>
      </c>
      <c r="G80" s="1">
        <v>977</v>
      </c>
      <c r="H80" s="1">
        <v>776</v>
      </c>
      <c r="I80" s="1">
        <v>724</v>
      </c>
      <c r="J80" s="1">
        <v>872</v>
      </c>
      <c r="K80" s="1">
        <v>905</v>
      </c>
    </row>
    <row r="81" spans="1:12" x14ac:dyDescent="0.25">
      <c r="A81" s="9">
        <v>2019</v>
      </c>
      <c r="B81" s="5">
        <v>953.36</v>
      </c>
      <c r="C81" s="5">
        <v>1056.72</v>
      </c>
      <c r="D81" s="5">
        <v>751.22</v>
      </c>
      <c r="E81" s="5">
        <v>957.85</v>
      </c>
      <c r="F81" s="5">
        <v>819.91</v>
      </c>
      <c r="G81" s="5">
        <v>1040.1500000000001</v>
      </c>
      <c r="H81" s="5">
        <v>830.45</v>
      </c>
      <c r="I81" s="5">
        <v>771.7</v>
      </c>
      <c r="J81" s="5">
        <v>943.42</v>
      </c>
      <c r="K81" s="5">
        <v>965.8</v>
      </c>
      <c r="L81" s="5"/>
    </row>
    <row r="82" spans="1:12" x14ac:dyDescent="0.25">
      <c r="A82" s="9">
        <v>2020</v>
      </c>
      <c r="B82" s="1">
        <v>989</v>
      </c>
      <c r="C82" s="1">
        <v>1093</v>
      </c>
      <c r="D82" s="1">
        <v>775</v>
      </c>
      <c r="E82" s="1">
        <v>984</v>
      </c>
      <c r="F82" s="1">
        <v>849</v>
      </c>
      <c r="G82" s="1">
        <v>1070</v>
      </c>
      <c r="H82" s="1">
        <v>867</v>
      </c>
      <c r="I82" s="1">
        <v>798</v>
      </c>
      <c r="J82" s="1">
        <v>977</v>
      </c>
      <c r="K82" s="1">
        <v>976</v>
      </c>
    </row>
    <row r="83" spans="1:12" x14ac:dyDescent="0.25">
      <c r="A83" s="9">
        <v>2021</v>
      </c>
      <c r="B83" s="1">
        <v>1128</v>
      </c>
      <c r="C83" s="1">
        <v>1252</v>
      </c>
      <c r="D83" s="1">
        <v>894</v>
      </c>
      <c r="E83" s="1">
        <v>1109</v>
      </c>
      <c r="G83" s="1">
        <v>1236</v>
      </c>
      <c r="H83" s="1">
        <v>982</v>
      </c>
      <c r="I83" s="1">
        <v>905</v>
      </c>
      <c r="K83" s="1">
        <v>1081</v>
      </c>
    </row>
    <row r="84" spans="1:12" x14ac:dyDescent="0.25">
      <c r="A84" s="9">
        <v>2022</v>
      </c>
      <c r="B84" s="39">
        <v>1275.25</v>
      </c>
      <c r="C84" s="39">
        <v>1424.4</v>
      </c>
      <c r="D84" s="39">
        <v>989.19</v>
      </c>
      <c r="E84" s="39">
        <v>1247.6400000000001</v>
      </c>
      <c r="F84" s="39"/>
      <c r="G84" s="39">
        <v>1412.96</v>
      </c>
      <c r="H84" s="39">
        <v>1103.3</v>
      </c>
      <c r="I84" s="39">
        <v>1018.04</v>
      </c>
      <c r="J84" s="39"/>
      <c r="K84" s="39">
        <v>1216.8499999999999</v>
      </c>
    </row>
    <row r="85" spans="1:12" x14ac:dyDescent="0.25">
      <c r="B85" s="27"/>
    </row>
    <row r="86" spans="1:12" x14ac:dyDescent="0.25">
      <c r="B86" s="27"/>
    </row>
    <row r="87" spans="1:12" x14ac:dyDescent="0.25">
      <c r="B87" s="27"/>
    </row>
    <row r="88" spans="1:12" x14ac:dyDescent="0.25">
      <c r="B88" s="27"/>
    </row>
    <row r="89" spans="1:12" x14ac:dyDescent="0.25">
      <c r="B89" s="27"/>
    </row>
    <row r="90" spans="1:12" x14ac:dyDescent="0.25">
      <c r="B90" s="27"/>
    </row>
    <row r="91" spans="1:12" x14ac:dyDescent="0.25">
      <c r="B91" s="27"/>
    </row>
    <row r="92" spans="1:12" x14ac:dyDescent="0.25">
      <c r="B92" s="27"/>
    </row>
    <row r="93" spans="1:12" x14ac:dyDescent="0.25">
      <c r="B93" s="27"/>
    </row>
    <row r="94" spans="1:12" x14ac:dyDescent="0.25">
      <c r="B94" s="28"/>
    </row>
    <row r="95" spans="1:12" ht="14.25" customHeight="1" x14ac:dyDescent="0.25"/>
    <row r="101" spans="1:11" s="3" customFormat="1" ht="5.25" customHeight="1" x14ac:dyDescent="0.25">
      <c r="A101" s="33"/>
    </row>
    <row r="103" spans="1:11" x14ac:dyDescent="0.25">
      <c r="B103" s="1" t="s">
        <v>20</v>
      </c>
      <c r="C103" s="1" t="s">
        <v>21</v>
      </c>
      <c r="D103" s="5"/>
      <c r="E103" s="5"/>
      <c r="F103" s="5"/>
      <c r="G103" s="5"/>
      <c r="J103" s="5"/>
      <c r="K103" s="5"/>
    </row>
    <row r="104" spans="1:11" x14ac:dyDescent="0.25">
      <c r="A104" s="9">
        <v>2005</v>
      </c>
      <c r="B104" s="1">
        <v>100</v>
      </c>
      <c r="C104" s="1">
        <v>100</v>
      </c>
    </row>
    <row r="105" spans="1:11" hidden="1" outlineLevel="1" x14ac:dyDescent="0.25">
      <c r="A105" s="9">
        <v>2006</v>
      </c>
      <c r="B105" s="1">
        <v>107</v>
      </c>
      <c r="C105" s="1">
        <v>121</v>
      </c>
    </row>
    <row r="106" spans="1:11" hidden="1" outlineLevel="1" x14ac:dyDescent="0.25">
      <c r="A106" s="9">
        <v>2007</v>
      </c>
      <c r="B106" s="1">
        <v>117</v>
      </c>
      <c r="C106" s="1">
        <v>169</v>
      </c>
    </row>
    <row r="107" spans="1:11" hidden="1" outlineLevel="1" x14ac:dyDescent="0.25">
      <c r="A107" s="9">
        <v>2008</v>
      </c>
      <c r="B107" s="1">
        <v>135</v>
      </c>
      <c r="C107" s="1">
        <v>202</v>
      </c>
    </row>
    <row r="108" spans="1:11" hidden="1" outlineLevel="1" x14ac:dyDescent="0.25">
      <c r="A108" s="9">
        <v>2009</v>
      </c>
      <c r="B108" s="1">
        <v>140</v>
      </c>
      <c r="C108" s="1">
        <v>184</v>
      </c>
    </row>
    <row r="109" spans="1:11" collapsed="1" x14ac:dyDescent="0.25">
      <c r="A109" s="9">
        <v>2010</v>
      </c>
      <c r="B109" s="1">
        <v>139</v>
      </c>
      <c r="C109" s="1">
        <v>178</v>
      </c>
    </row>
    <row r="110" spans="1:11" hidden="1" outlineLevel="1" x14ac:dyDescent="0.25">
      <c r="A110" s="9">
        <v>2011</v>
      </c>
      <c r="B110" s="1">
        <v>145</v>
      </c>
      <c r="C110" s="1">
        <v>180</v>
      </c>
    </row>
    <row r="111" spans="1:11" hidden="1" outlineLevel="1" x14ac:dyDescent="0.25">
      <c r="A111" s="9">
        <v>2012</v>
      </c>
      <c r="B111" s="5">
        <v>147.9</v>
      </c>
      <c r="C111" s="5">
        <v>191.7</v>
      </c>
    </row>
    <row r="112" spans="1:11" hidden="1" outlineLevel="1" x14ac:dyDescent="0.25">
      <c r="A112" s="9">
        <v>2013</v>
      </c>
      <c r="B112" s="5">
        <v>148</v>
      </c>
      <c r="C112" s="1">
        <v>194</v>
      </c>
    </row>
    <row r="113" spans="1:3" hidden="1" outlineLevel="1" x14ac:dyDescent="0.25">
      <c r="A113" s="9">
        <v>2014</v>
      </c>
      <c r="B113" s="5">
        <v>149</v>
      </c>
      <c r="C113" s="1">
        <v>202</v>
      </c>
    </row>
    <row r="114" spans="1:3" collapsed="1" x14ac:dyDescent="0.25">
      <c r="A114" s="9">
        <v>2015</v>
      </c>
      <c r="B114" s="5">
        <v>149.1</v>
      </c>
      <c r="C114" s="1">
        <v>213</v>
      </c>
    </row>
    <row r="115" spans="1:3" x14ac:dyDescent="0.25">
      <c r="A115" s="9">
        <v>2016</v>
      </c>
      <c r="B115" s="5">
        <v>149.30000000000001</v>
      </c>
      <c r="C115" s="1">
        <v>225</v>
      </c>
    </row>
    <row r="116" spans="1:3" x14ac:dyDescent="0.25">
      <c r="A116" s="9">
        <v>2017</v>
      </c>
      <c r="B116" s="1">
        <v>154</v>
      </c>
      <c r="C116" s="1">
        <v>245</v>
      </c>
    </row>
    <row r="117" spans="1:3" x14ac:dyDescent="0.25">
      <c r="A117" s="9">
        <v>2018</v>
      </c>
      <c r="B117" s="5">
        <v>157.6</v>
      </c>
      <c r="C117" s="1">
        <v>265</v>
      </c>
    </row>
    <row r="118" spans="1:3" x14ac:dyDescent="0.25">
      <c r="A118" s="9">
        <v>2019</v>
      </c>
      <c r="B118" s="1">
        <v>162</v>
      </c>
      <c r="C118" s="1">
        <v>284</v>
      </c>
    </row>
    <row r="119" spans="1:3" x14ac:dyDescent="0.25">
      <c r="A119" s="9">
        <v>2020</v>
      </c>
      <c r="B119" s="5">
        <v>162.30000000000001</v>
      </c>
      <c r="C119" s="5">
        <v>296.39999999999998</v>
      </c>
    </row>
    <row r="120" spans="1:3" x14ac:dyDescent="0.25">
      <c r="A120" s="9">
        <v>2021</v>
      </c>
      <c r="B120" s="1">
        <v>168</v>
      </c>
      <c r="C120" s="1">
        <v>336</v>
      </c>
    </row>
    <row r="121" spans="1:3" x14ac:dyDescent="0.25">
      <c r="A121" s="9">
        <v>2022</v>
      </c>
      <c r="B121" s="1">
        <v>197</v>
      </c>
      <c r="C121" s="1">
        <v>377</v>
      </c>
    </row>
    <row r="132" spans="1:21" s="3" customFormat="1" ht="5.25" customHeight="1" x14ac:dyDescent="0.25">
      <c r="A132" s="33"/>
    </row>
    <row r="133" spans="1:21" x14ac:dyDescent="0.25">
      <c r="B133" s="5"/>
      <c r="C133" s="4"/>
      <c r="U133" s="1"/>
    </row>
    <row r="134" spans="1:21" x14ac:dyDescent="0.25">
      <c r="B134" s="5" t="s">
        <v>12</v>
      </c>
      <c r="C134" s="10" t="s">
        <v>31</v>
      </c>
      <c r="D134" s="11" t="s">
        <v>22</v>
      </c>
      <c r="E134" s="11" t="s">
        <v>23</v>
      </c>
      <c r="F134" s="11" t="s">
        <v>24</v>
      </c>
      <c r="G134" s="1" t="s">
        <v>32</v>
      </c>
      <c r="H134" s="1" t="s">
        <v>13</v>
      </c>
      <c r="I134" s="1" t="s">
        <v>14</v>
      </c>
      <c r="J134" s="11" t="s">
        <v>25</v>
      </c>
      <c r="K134" s="1" t="s">
        <v>15</v>
      </c>
      <c r="L134" s="1" t="s">
        <v>33</v>
      </c>
      <c r="M134" s="1" t="s">
        <v>34</v>
      </c>
      <c r="N134" s="1" t="s">
        <v>16</v>
      </c>
      <c r="O134" s="11" t="s">
        <v>26</v>
      </c>
      <c r="P134" s="1" t="s">
        <v>17</v>
      </c>
      <c r="S134" s="3" t="s">
        <v>18</v>
      </c>
      <c r="U134" s="1"/>
    </row>
    <row r="135" spans="1:21" x14ac:dyDescent="0.25">
      <c r="A135" s="34" t="s">
        <v>41</v>
      </c>
      <c r="B135" s="6">
        <v>54.087626652814627</v>
      </c>
      <c r="C135" s="6">
        <v>17.238837756045847</v>
      </c>
      <c r="D135" s="6">
        <v>5.0065491208795887</v>
      </c>
      <c r="E135" s="6">
        <v>17.261981613100868</v>
      </c>
      <c r="F135" s="6">
        <v>3.3348549567641994</v>
      </c>
      <c r="G135" s="6">
        <v>6.4000329385163575</v>
      </c>
      <c r="H135" s="6">
        <v>18.81069618446298</v>
      </c>
      <c r="I135" s="6">
        <v>17.779809997245064</v>
      </c>
      <c r="J135" s="6">
        <v>14.6</v>
      </c>
      <c r="K135" s="6">
        <v>45.912373347185373</v>
      </c>
      <c r="L135" s="6">
        <v>2.3808944375491796</v>
      </c>
      <c r="M135" s="6">
        <v>59.848927142842044</v>
      </c>
      <c r="N135" s="6">
        <v>1.2703701559467475</v>
      </c>
      <c r="O135" s="6">
        <v>2.6796086924162958</v>
      </c>
      <c r="P135" s="6">
        <v>33.82019957124573</v>
      </c>
      <c r="Q135" s="6"/>
      <c r="U135" s="1"/>
    </row>
    <row r="136" spans="1:21" x14ac:dyDescent="0.25">
      <c r="B136" s="5"/>
      <c r="C136" s="4"/>
      <c r="U136" s="1"/>
    </row>
    <row r="137" spans="1:21" x14ac:dyDescent="0.25">
      <c r="B137" s="5"/>
      <c r="C137" s="4"/>
      <c r="U137" s="1"/>
    </row>
    <row r="138" spans="1:21" x14ac:dyDescent="0.25">
      <c r="B138" s="5"/>
      <c r="C138" s="4"/>
      <c r="U138" s="1"/>
    </row>
    <row r="139" spans="1:21" x14ac:dyDescent="0.25">
      <c r="B139" s="5"/>
      <c r="C139" s="4"/>
      <c r="U139" s="1"/>
    </row>
    <row r="140" spans="1:21" x14ac:dyDescent="0.25">
      <c r="B140" s="5"/>
      <c r="C140" s="4"/>
      <c r="U140" s="1"/>
    </row>
    <row r="141" spans="1:21" x14ac:dyDescent="0.25">
      <c r="B141" s="5"/>
      <c r="C141" s="4"/>
      <c r="U141" s="1"/>
    </row>
    <row r="142" spans="1:21" x14ac:dyDescent="0.25">
      <c r="B142" s="5"/>
      <c r="C142" s="4"/>
      <c r="U142" s="1"/>
    </row>
    <row r="143" spans="1:21" x14ac:dyDescent="0.25">
      <c r="B143" s="5"/>
      <c r="C143" s="4"/>
      <c r="U143" s="1"/>
    </row>
    <row r="144" spans="1:21" x14ac:dyDescent="0.25">
      <c r="B144" s="5"/>
      <c r="C144" s="4"/>
      <c r="U144" s="1"/>
    </row>
    <row r="145" spans="2:21" x14ac:dyDescent="0.25">
      <c r="B145" s="5"/>
      <c r="C145" s="4"/>
      <c r="U145" s="1"/>
    </row>
    <row r="146" spans="2:21" x14ac:dyDescent="0.25">
      <c r="B146" s="5"/>
      <c r="C146" s="4"/>
      <c r="U146" s="1"/>
    </row>
    <row r="147" spans="2:21" x14ac:dyDescent="0.25">
      <c r="B147" s="5"/>
      <c r="C147" s="4"/>
      <c r="U147" s="1"/>
    </row>
    <row r="148" spans="2:21" x14ac:dyDescent="0.25">
      <c r="B148" s="5"/>
      <c r="C148" s="4"/>
      <c r="U148" s="1"/>
    </row>
    <row r="149" spans="2:21" x14ac:dyDescent="0.25">
      <c r="B149" s="5"/>
      <c r="C149" s="4"/>
      <c r="U149" s="1"/>
    </row>
    <row r="150" spans="2:21" x14ac:dyDescent="0.25">
      <c r="B150" s="5"/>
      <c r="C150" s="4"/>
      <c r="U150" s="1"/>
    </row>
    <row r="151" spans="2:21" x14ac:dyDescent="0.25">
      <c r="B151" s="5"/>
      <c r="C151" s="4"/>
      <c r="U151" s="1"/>
    </row>
    <row r="152" spans="2:21" x14ac:dyDescent="0.25">
      <c r="B152" s="5"/>
      <c r="C152" s="4"/>
      <c r="U152" s="1"/>
    </row>
    <row r="153" spans="2:21" x14ac:dyDescent="0.25">
      <c r="B153" s="5"/>
      <c r="C153" s="4"/>
      <c r="U153" s="1"/>
    </row>
    <row r="154" spans="2:21" x14ac:dyDescent="0.25">
      <c r="B154" s="5"/>
      <c r="C154" s="4"/>
      <c r="U154" s="1"/>
    </row>
    <row r="155" spans="2:21" x14ac:dyDescent="0.25">
      <c r="B155" s="5"/>
      <c r="C155" s="4"/>
      <c r="U155" s="1"/>
    </row>
    <row r="156" spans="2:21" x14ac:dyDescent="0.25">
      <c r="B156" s="5"/>
      <c r="C156" s="4"/>
      <c r="U156" s="1"/>
    </row>
    <row r="157" spans="2:21" x14ac:dyDescent="0.25">
      <c r="B157" s="5"/>
      <c r="C157" s="4"/>
      <c r="U157" s="1"/>
    </row>
    <row r="158" spans="2:21" x14ac:dyDescent="0.25">
      <c r="B158" s="5"/>
      <c r="C158" s="4"/>
      <c r="U158" s="1"/>
    </row>
    <row r="159" spans="2:21" x14ac:dyDescent="0.25">
      <c r="B159" s="5"/>
      <c r="C159" s="4"/>
      <c r="U159" s="1"/>
    </row>
    <row r="160" spans="2:21" x14ac:dyDescent="0.25">
      <c r="B160" s="5"/>
      <c r="C160" s="4"/>
      <c r="U160" s="1"/>
    </row>
    <row r="161" spans="2:21" x14ac:dyDescent="0.25">
      <c r="B161" s="5"/>
      <c r="C161" s="4"/>
      <c r="U161" s="1"/>
    </row>
    <row r="162" spans="2:21" x14ac:dyDescent="0.25">
      <c r="B162" s="5"/>
      <c r="C162" s="4"/>
      <c r="U162" s="1"/>
    </row>
    <row r="163" spans="2:21" x14ac:dyDescent="0.25">
      <c r="B163" s="5"/>
      <c r="C163" s="4"/>
      <c r="U163" s="1"/>
    </row>
    <row r="164" spans="2:21" x14ac:dyDescent="0.25">
      <c r="B164" s="5"/>
      <c r="C164" s="4"/>
      <c r="U164" s="1"/>
    </row>
    <row r="165" spans="2:21" hidden="1" outlineLevel="1" x14ac:dyDescent="0.25">
      <c r="B165" s="5"/>
      <c r="C165" s="4"/>
      <c r="U165" s="1"/>
    </row>
    <row r="166" spans="2:21" hidden="1" outlineLevel="1" x14ac:dyDescent="0.25">
      <c r="B166" s="5"/>
      <c r="C166" s="4"/>
      <c r="U166" s="1"/>
    </row>
    <row r="167" spans="2:21" hidden="1" outlineLevel="1" x14ac:dyDescent="0.25">
      <c r="B167" s="5"/>
      <c r="C167" s="4"/>
      <c r="U167" s="1"/>
    </row>
    <row r="168" spans="2:21" hidden="1" outlineLevel="1" x14ac:dyDescent="0.25">
      <c r="B168" s="5"/>
      <c r="C168" s="4"/>
      <c r="U168" s="1"/>
    </row>
    <row r="169" spans="2:21" hidden="1" outlineLevel="1" x14ac:dyDescent="0.25">
      <c r="B169" s="5"/>
      <c r="C169" s="4"/>
      <c r="U169" s="1"/>
    </row>
    <row r="170" spans="2:21" hidden="1" outlineLevel="1" x14ac:dyDescent="0.25">
      <c r="B170" s="5"/>
      <c r="C170" s="4"/>
      <c r="U170" s="1"/>
    </row>
    <row r="171" spans="2:21" hidden="1" outlineLevel="1" x14ac:dyDescent="0.25">
      <c r="B171" s="5"/>
      <c r="C171" s="4"/>
      <c r="U171" s="1"/>
    </row>
    <row r="172" spans="2:21" hidden="1" outlineLevel="1" x14ac:dyDescent="0.25">
      <c r="B172" s="5"/>
      <c r="C172" s="4"/>
      <c r="U172" s="1"/>
    </row>
    <row r="173" spans="2:21" hidden="1" outlineLevel="1" x14ac:dyDescent="0.25">
      <c r="B173" s="5"/>
      <c r="C173" s="4"/>
      <c r="U173" s="1"/>
    </row>
    <row r="174" spans="2:21" hidden="1" outlineLevel="1" x14ac:dyDescent="0.25">
      <c r="B174" s="5"/>
      <c r="C174" s="4"/>
      <c r="U174" s="1"/>
    </row>
    <row r="175" spans="2:21" hidden="1" outlineLevel="1" x14ac:dyDescent="0.25">
      <c r="B175" s="5"/>
      <c r="C175" s="4"/>
      <c r="U175" s="1"/>
    </row>
    <row r="176" spans="2:21" hidden="1" outlineLevel="1" x14ac:dyDescent="0.25">
      <c r="B176" s="5"/>
      <c r="C176" s="4"/>
      <c r="U176" s="1"/>
    </row>
    <row r="177" spans="2:21" hidden="1" outlineLevel="1" x14ac:dyDescent="0.25">
      <c r="B177" s="5"/>
      <c r="C177" s="4"/>
      <c r="U177" s="1"/>
    </row>
    <row r="178" spans="2:21" hidden="1" outlineLevel="1" x14ac:dyDescent="0.25">
      <c r="B178" s="5"/>
      <c r="C178" s="4"/>
      <c r="U178" s="1"/>
    </row>
    <row r="179" spans="2:21" hidden="1" outlineLevel="1" x14ac:dyDescent="0.25">
      <c r="B179" s="5"/>
      <c r="C179" s="4"/>
      <c r="U179" s="1"/>
    </row>
    <row r="180" spans="2:21" hidden="1" outlineLevel="1" x14ac:dyDescent="0.25">
      <c r="B180" s="5"/>
      <c r="C180" s="4"/>
      <c r="U180" s="1"/>
    </row>
    <row r="181" spans="2:21" hidden="1" outlineLevel="1" x14ac:dyDescent="0.25">
      <c r="B181" s="5"/>
      <c r="C181" s="4"/>
      <c r="U181" s="1"/>
    </row>
    <row r="182" spans="2:21" hidden="1" outlineLevel="1" x14ac:dyDescent="0.25">
      <c r="B182" s="5"/>
      <c r="C182" s="4"/>
      <c r="U182" s="1"/>
    </row>
    <row r="183" spans="2:21" hidden="1" outlineLevel="1" x14ac:dyDescent="0.25">
      <c r="B183" s="5"/>
      <c r="C183" s="4"/>
      <c r="U183" s="1"/>
    </row>
    <row r="184" spans="2:21" hidden="1" outlineLevel="1" x14ac:dyDescent="0.25">
      <c r="B184" s="5"/>
      <c r="C184" s="4"/>
      <c r="U184" s="1"/>
    </row>
    <row r="185" spans="2:21" hidden="1" outlineLevel="1" x14ac:dyDescent="0.25">
      <c r="B185" s="5"/>
      <c r="C185" s="4"/>
      <c r="U185" s="1"/>
    </row>
    <row r="186" spans="2:21" hidden="1" outlineLevel="1" x14ac:dyDescent="0.25">
      <c r="B186" s="5"/>
      <c r="C186" s="4"/>
      <c r="U186" s="1"/>
    </row>
    <row r="187" spans="2:21" hidden="1" outlineLevel="1" x14ac:dyDescent="0.25">
      <c r="B187" s="5"/>
      <c r="C187" s="4"/>
      <c r="U187" s="1"/>
    </row>
    <row r="188" spans="2:21" hidden="1" outlineLevel="1" x14ac:dyDescent="0.25">
      <c r="B188" s="5"/>
      <c r="C188" s="4"/>
      <c r="U188" s="1"/>
    </row>
    <row r="189" spans="2:21" hidden="1" outlineLevel="1" x14ac:dyDescent="0.25">
      <c r="B189" s="5"/>
      <c r="C189" s="4"/>
      <c r="U189" s="1"/>
    </row>
    <row r="190" spans="2:21" hidden="1" outlineLevel="1" x14ac:dyDescent="0.25">
      <c r="B190" s="5"/>
      <c r="C190" s="4"/>
      <c r="U190" s="1"/>
    </row>
    <row r="191" spans="2:21" hidden="1" outlineLevel="1" x14ac:dyDescent="0.25">
      <c r="B191" s="5"/>
      <c r="C191" s="4"/>
      <c r="U191" s="1"/>
    </row>
    <row r="192" spans="2:21" hidden="1" outlineLevel="1" x14ac:dyDescent="0.25">
      <c r="B192" s="5"/>
      <c r="C192" s="4"/>
      <c r="U192" s="1"/>
    </row>
    <row r="193" spans="2:21" hidden="1" outlineLevel="1" x14ac:dyDescent="0.25">
      <c r="B193" s="5"/>
      <c r="C193" s="4"/>
      <c r="U193" s="1"/>
    </row>
    <row r="194" spans="2:21" hidden="1" outlineLevel="1" x14ac:dyDescent="0.25">
      <c r="B194" s="5"/>
      <c r="C194" s="4"/>
      <c r="U194" s="1"/>
    </row>
    <row r="195" spans="2:21" hidden="1" outlineLevel="1" x14ac:dyDescent="0.25">
      <c r="B195" s="5"/>
      <c r="C195" s="4"/>
      <c r="U195" s="1"/>
    </row>
    <row r="196" spans="2:21" hidden="1" outlineLevel="1" x14ac:dyDescent="0.25">
      <c r="B196" s="5"/>
      <c r="C196" s="4"/>
      <c r="U196" s="1"/>
    </row>
    <row r="197" spans="2:21" hidden="1" outlineLevel="1" x14ac:dyDescent="0.25">
      <c r="B197" s="5"/>
      <c r="C197" s="4"/>
      <c r="U197" s="1"/>
    </row>
    <row r="198" spans="2:21" hidden="1" outlineLevel="1" x14ac:dyDescent="0.25">
      <c r="B198" s="5"/>
      <c r="C198" s="4"/>
      <c r="U198" s="1"/>
    </row>
    <row r="199" spans="2:21" hidden="1" outlineLevel="1" x14ac:dyDescent="0.25">
      <c r="B199" s="5"/>
      <c r="C199" s="4"/>
      <c r="U199" s="1"/>
    </row>
    <row r="200" spans="2:21" hidden="1" outlineLevel="1" x14ac:dyDescent="0.25">
      <c r="B200" s="5"/>
      <c r="C200" s="4"/>
      <c r="U200" s="1"/>
    </row>
    <row r="201" spans="2:21" hidden="1" outlineLevel="1" x14ac:dyDescent="0.25">
      <c r="B201" s="5"/>
      <c r="C201" s="4"/>
      <c r="U201" s="1"/>
    </row>
    <row r="202" spans="2:21" hidden="1" outlineLevel="1" x14ac:dyDescent="0.25">
      <c r="B202" s="5"/>
      <c r="C202" s="4"/>
      <c r="U202" s="1"/>
    </row>
    <row r="203" spans="2:21" hidden="1" outlineLevel="1" x14ac:dyDescent="0.25">
      <c r="B203" s="5"/>
      <c r="C203" s="4"/>
      <c r="U203" s="1"/>
    </row>
    <row r="204" spans="2:21" hidden="1" outlineLevel="1" x14ac:dyDescent="0.25">
      <c r="B204" s="5"/>
      <c r="C204" s="4"/>
      <c r="U204" s="1"/>
    </row>
    <row r="205" spans="2:21" hidden="1" outlineLevel="1" x14ac:dyDescent="0.25">
      <c r="B205" s="5"/>
      <c r="C205" s="4"/>
      <c r="U205" s="1"/>
    </row>
    <row r="206" spans="2:21" hidden="1" outlineLevel="1" x14ac:dyDescent="0.25">
      <c r="B206" s="5"/>
      <c r="C206" s="4"/>
      <c r="U206" s="1"/>
    </row>
    <row r="207" spans="2:21" hidden="1" outlineLevel="1" x14ac:dyDescent="0.25">
      <c r="B207" s="5"/>
      <c r="C207" s="4"/>
      <c r="U207" s="1"/>
    </row>
    <row r="208" spans="2:21" hidden="1" outlineLevel="1" x14ac:dyDescent="0.25">
      <c r="B208" s="5"/>
      <c r="C208" s="4"/>
      <c r="U208" s="1"/>
    </row>
    <row r="209" spans="2:21" hidden="1" outlineLevel="1" x14ac:dyDescent="0.25">
      <c r="B209" s="5"/>
      <c r="C209" s="4"/>
      <c r="U209" s="1"/>
    </row>
    <row r="210" spans="2:21" hidden="1" outlineLevel="1" x14ac:dyDescent="0.25">
      <c r="B210" s="5"/>
      <c r="C210" s="4"/>
      <c r="U210" s="1"/>
    </row>
    <row r="211" spans="2:21" hidden="1" outlineLevel="1" x14ac:dyDescent="0.25">
      <c r="B211" s="5"/>
      <c r="C211" s="4"/>
      <c r="U211" s="1"/>
    </row>
    <row r="212" spans="2:21" hidden="1" outlineLevel="1" x14ac:dyDescent="0.25">
      <c r="B212" s="5"/>
      <c r="C212" s="4"/>
      <c r="U212" s="1"/>
    </row>
    <row r="213" spans="2:21" hidden="1" outlineLevel="1" x14ac:dyDescent="0.25">
      <c r="B213" s="5"/>
      <c r="C213" s="4"/>
      <c r="U213" s="1"/>
    </row>
    <row r="214" spans="2:21" hidden="1" outlineLevel="1" x14ac:dyDescent="0.25">
      <c r="B214" s="5"/>
      <c r="C214" s="4"/>
      <c r="U214" s="1"/>
    </row>
    <row r="215" spans="2:21" hidden="1" outlineLevel="1" x14ac:dyDescent="0.25">
      <c r="B215" s="5"/>
      <c r="C215" s="4"/>
      <c r="U215" s="1"/>
    </row>
    <row r="216" spans="2:21" hidden="1" outlineLevel="1" x14ac:dyDescent="0.25">
      <c r="B216" s="5"/>
      <c r="C216" s="4"/>
      <c r="U216" s="1"/>
    </row>
    <row r="217" spans="2:21" hidden="1" outlineLevel="1" x14ac:dyDescent="0.25">
      <c r="B217" s="5"/>
      <c r="C217" s="4"/>
      <c r="U217" s="1"/>
    </row>
    <row r="218" spans="2:21" hidden="1" outlineLevel="1" x14ac:dyDescent="0.25">
      <c r="B218" s="5"/>
      <c r="C218" s="4"/>
      <c r="U218" s="1"/>
    </row>
    <row r="219" spans="2:21" hidden="1" outlineLevel="1" x14ac:dyDescent="0.25">
      <c r="B219" s="5"/>
      <c r="C219" s="4"/>
      <c r="U219" s="1"/>
    </row>
    <row r="220" spans="2:21" hidden="1" outlineLevel="1" x14ac:dyDescent="0.25">
      <c r="B220" s="5"/>
      <c r="C220" s="4"/>
      <c r="U220" s="1"/>
    </row>
    <row r="221" spans="2:21" hidden="1" outlineLevel="1" x14ac:dyDescent="0.25">
      <c r="B221" s="5"/>
      <c r="C221" s="4"/>
      <c r="U221" s="1"/>
    </row>
    <row r="222" spans="2:21" hidden="1" outlineLevel="1" x14ac:dyDescent="0.25">
      <c r="B222" s="5"/>
      <c r="C222" s="4"/>
      <c r="U222" s="1"/>
    </row>
    <row r="223" spans="2:21" hidden="1" outlineLevel="1" x14ac:dyDescent="0.25">
      <c r="B223" s="5"/>
      <c r="C223" s="4"/>
      <c r="U223" s="1"/>
    </row>
    <row r="224" spans="2:21" hidden="1" outlineLevel="1" x14ac:dyDescent="0.25">
      <c r="B224" s="5"/>
      <c r="C224" s="4"/>
      <c r="U224" s="1"/>
    </row>
    <row r="225" spans="1:21" hidden="1" outlineLevel="1" x14ac:dyDescent="0.25">
      <c r="B225" s="5"/>
      <c r="C225" s="4"/>
      <c r="U225" s="1"/>
    </row>
    <row r="226" spans="1:21" hidden="1" outlineLevel="1" x14ac:dyDescent="0.25">
      <c r="B226" s="5"/>
      <c r="C226" s="4"/>
      <c r="U226" s="1"/>
    </row>
    <row r="227" spans="1:21" hidden="1" outlineLevel="1" x14ac:dyDescent="0.25">
      <c r="B227" s="5"/>
      <c r="C227" s="4"/>
      <c r="U227" s="1"/>
    </row>
    <row r="228" spans="1:21" s="3" customFormat="1" ht="5.25" hidden="1" customHeight="1" outlineLevel="1" x14ac:dyDescent="0.25">
      <c r="A228" s="33"/>
    </row>
    <row r="229" spans="1:21" s="3" customFormat="1" ht="5.25" customHeight="1" collapsed="1" x14ac:dyDescent="0.25">
      <c r="A229" s="33"/>
    </row>
    <row r="230" spans="1:21" hidden="1" outlineLevel="1" x14ac:dyDescent="0.25"/>
    <row r="231" spans="1:21" hidden="1" outlineLevel="1" x14ac:dyDescent="0.25">
      <c r="A231" s="35"/>
      <c r="B231" s="7"/>
      <c r="C231" s="7"/>
      <c r="D231" s="7"/>
      <c r="E231" s="7"/>
      <c r="F231" s="7"/>
      <c r="G231" s="7"/>
      <c r="H231" s="7"/>
      <c r="I231" s="7"/>
      <c r="J231" s="7"/>
    </row>
    <row r="232" spans="1:21" hidden="1" outlineLevel="1" x14ac:dyDescent="0.25">
      <c r="A232" s="36"/>
      <c r="B232" s="8"/>
      <c r="C232" s="8"/>
      <c r="D232" s="8"/>
      <c r="E232" s="8"/>
      <c r="F232" s="8"/>
      <c r="G232" s="8"/>
      <c r="H232" s="8"/>
      <c r="I232" s="8"/>
      <c r="J232" s="8"/>
    </row>
    <row r="233" spans="1:21" hidden="1" outlineLevel="1" x14ac:dyDescent="0.25">
      <c r="A233" s="36"/>
      <c r="B233" s="8"/>
      <c r="C233" s="8"/>
      <c r="D233" s="8"/>
      <c r="E233" s="8"/>
      <c r="F233" s="8"/>
      <c r="G233" s="8"/>
      <c r="H233" s="8"/>
      <c r="I233" s="8"/>
      <c r="J233" s="8"/>
    </row>
    <row r="234" spans="1:21" hidden="1" outlineLevel="1" x14ac:dyDescent="0.25">
      <c r="A234" s="36"/>
      <c r="B234" s="8"/>
      <c r="C234" s="8"/>
      <c r="D234" s="8"/>
      <c r="E234" s="8"/>
      <c r="F234" s="8"/>
      <c r="G234" s="8"/>
      <c r="H234" s="8"/>
      <c r="I234" s="8"/>
      <c r="J234" s="8"/>
    </row>
    <row r="235" spans="1:21" hidden="1" outlineLevel="1" x14ac:dyDescent="0.25">
      <c r="A235" s="36"/>
      <c r="B235" s="8"/>
      <c r="C235" s="8"/>
      <c r="D235" s="8"/>
      <c r="E235" s="8"/>
      <c r="F235" s="8"/>
      <c r="G235" s="8"/>
      <c r="H235" s="8"/>
      <c r="I235" s="8"/>
      <c r="J235" s="8"/>
    </row>
    <row r="236" spans="1:21" hidden="1" outlineLevel="1" x14ac:dyDescent="0.25">
      <c r="A236" s="36"/>
      <c r="B236" s="8"/>
      <c r="C236" s="8"/>
      <c r="D236" s="8"/>
      <c r="E236" s="8"/>
      <c r="F236" s="8"/>
      <c r="G236" s="8"/>
      <c r="H236" s="8"/>
      <c r="I236" s="8"/>
      <c r="J236" s="8"/>
    </row>
    <row r="237" spans="1:21" hidden="1" outlineLevel="1" x14ac:dyDescent="0.25"/>
    <row r="238" spans="1:21" hidden="1" outlineLevel="1" x14ac:dyDescent="0.25"/>
    <row r="239" spans="1:21" hidden="1" outlineLevel="1" x14ac:dyDescent="0.25"/>
    <row r="240" spans="1:21" hidden="1" outlineLevel="1" x14ac:dyDescent="0.25"/>
    <row r="241" hidden="1" outlineLevel="1" x14ac:dyDescent="0.25"/>
    <row r="242" hidden="1" outlineLevel="1" x14ac:dyDescent="0.25"/>
    <row r="243" hidden="1" outlineLevel="1" x14ac:dyDescent="0.25"/>
    <row r="244" hidden="1" outlineLevel="1" x14ac:dyDescent="0.25"/>
    <row r="245" hidden="1" outlineLevel="1" x14ac:dyDescent="0.25"/>
    <row r="246" hidden="1" outlineLevel="1" x14ac:dyDescent="0.25"/>
    <row r="247" hidden="1" outlineLevel="1" x14ac:dyDescent="0.25"/>
    <row r="248" hidden="1" outlineLevel="1" x14ac:dyDescent="0.25"/>
    <row r="249" hidden="1" outlineLevel="1" x14ac:dyDescent="0.25"/>
    <row r="250" hidden="1" outlineLevel="1" x14ac:dyDescent="0.25"/>
    <row r="251" hidden="1" outlineLevel="1" x14ac:dyDescent="0.25"/>
    <row r="252" hidden="1" outlineLevel="1" x14ac:dyDescent="0.25"/>
    <row r="253" hidden="1" outlineLevel="1" x14ac:dyDescent="0.25"/>
    <row r="254" hidden="1" outlineLevel="1" x14ac:dyDescent="0.25"/>
    <row r="255" hidden="1" outlineLevel="1" x14ac:dyDescent="0.25"/>
    <row r="256" hidden="1" outlineLevel="1" x14ac:dyDescent="0.25"/>
    <row r="257" spans="1:10" hidden="1" outlineLevel="1" x14ac:dyDescent="0.25"/>
    <row r="258" spans="1:10" hidden="1" outlineLevel="1" x14ac:dyDescent="0.25"/>
    <row r="259" spans="1:10" hidden="1" outlineLevel="1" x14ac:dyDescent="0.25"/>
    <row r="260" spans="1:10" hidden="1" outlineLevel="1" x14ac:dyDescent="0.25"/>
    <row r="261" spans="1:10" s="3" customFormat="1" ht="5.25" hidden="1" customHeight="1" outlineLevel="1" x14ac:dyDescent="0.25">
      <c r="A261" s="33"/>
    </row>
    <row r="262" spans="1:10" hidden="1" outlineLevel="1" x14ac:dyDescent="0.25"/>
    <row r="263" spans="1:10" hidden="1" outlineLevel="1" x14ac:dyDescent="0.25">
      <c r="A263" s="35"/>
      <c r="B263" s="7"/>
      <c r="C263" s="7"/>
      <c r="D263" s="7"/>
      <c r="E263" s="7"/>
      <c r="F263" s="7"/>
      <c r="G263" s="7"/>
      <c r="H263" s="7"/>
      <c r="I263" s="7"/>
      <c r="J263" s="7"/>
    </row>
    <row r="264" spans="1:10" hidden="1" outlineLevel="1" x14ac:dyDescent="0.25">
      <c r="A264" s="36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idden="1" outlineLevel="1" x14ac:dyDescent="0.25">
      <c r="A265" s="36"/>
      <c r="B265" s="8"/>
      <c r="C265" s="8"/>
      <c r="D265" s="8"/>
      <c r="E265" s="8"/>
      <c r="F265" s="8"/>
      <c r="G265" s="8"/>
      <c r="H265" s="8"/>
      <c r="I265" s="8"/>
      <c r="J265" s="8"/>
    </row>
    <row r="266" spans="1:10" hidden="1" outlineLevel="1" x14ac:dyDescent="0.25">
      <c r="A266" s="36"/>
      <c r="B266" s="8"/>
      <c r="C266" s="8"/>
      <c r="D266" s="8"/>
      <c r="E266" s="8"/>
      <c r="F266" s="8"/>
      <c r="G266" s="8"/>
      <c r="H266" s="8"/>
      <c r="I266" s="8"/>
      <c r="J266" s="8"/>
    </row>
    <row r="267" spans="1:10" hidden="1" outlineLevel="1" x14ac:dyDescent="0.25">
      <c r="A267" s="36"/>
      <c r="B267" s="8"/>
      <c r="C267" s="8"/>
      <c r="D267" s="8"/>
      <c r="E267" s="8"/>
      <c r="F267" s="8"/>
      <c r="G267" s="8"/>
      <c r="H267" s="8"/>
      <c r="I267" s="8"/>
      <c r="J267" s="8"/>
    </row>
    <row r="268" spans="1:10" hidden="1" outlineLevel="1" x14ac:dyDescent="0.25">
      <c r="A268" s="36"/>
      <c r="B268" s="8"/>
      <c r="C268" s="8"/>
      <c r="D268" s="8"/>
      <c r="E268" s="8"/>
      <c r="F268" s="8"/>
      <c r="G268" s="8"/>
      <c r="H268" s="8"/>
      <c r="I268" s="8"/>
      <c r="J268" s="8"/>
    </row>
    <row r="269" spans="1:10" hidden="1" outlineLevel="1" x14ac:dyDescent="0.25"/>
    <row r="270" spans="1:10" hidden="1" outlineLevel="1" x14ac:dyDescent="0.25"/>
    <row r="271" spans="1:10" hidden="1" outlineLevel="1" x14ac:dyDescent="0.25"/>
    <row r="272" spans="1:10" hidden="1" outlineLevel="1" x14ac:dyDescent="0.25"/>
    <row r="273" hidden="1" outlineLevel="1" x14ac:dyDescent="0.25"/>
    <row r="274" hidden="1" outlineLevel="1" x14ac:dyDescent="0.25"/>
    <row r="275" hidden="1" outlineLevel="1" x14ac:dyDescent="0.25"/>
    <row r="276" hidden="1" outlineLevel="1" x14ac:dyDescent="0.25"/>
    <row r="277" hidden="1" outlineLevel="1" x14ac:dyDescent="0.25"/>
    <row r="278" hidden="1" outlineLevel="1" x14ac:dyDescent="0.25"/>
    <row r="279" hidden="1" outlineLevel="1" x14ac:dyDescent="0.25"/>
    <row r="280" hidden="1" outlineLevel="1" x14ac:dyDescent="0.25"/>
    <row r="281" hidden="1" outlineLevel="1" x14ac:dyDescent="0.25"/>
    <row r="282" hidden="1" outlineLevel="1" x14ac:dyDescent="0.25"/>
    <row r="283" hidden="1" outlineLevel="1" x14ac:dyDescent="0.25"/>
    <row r="284" hidden="1" outlineLevel="1" x14ac:dyDescent="0.25"/>
    <row r="285" hidden="1" outlineLevel="1" x14ac:dyDescent="0.25"/>
    <row r="286" hidden="1" outlineLevel="1" x14ac:dyDescent="0.25"/>
    <row r="287" hidden="1" outlineLevel="1" x14ac:dyDescent="0.25"/>
    <row r="288" hidden="1" outlineLevel="1" x14ac:dyDescent="0.25"/>
    <row r="289" spans="1:11" hidden="1" outlineLevel="1" x14ac:dyDescent="0.25"/>
    <row r="290" spans="1:11" hidden="1" outlineLevel="1" x14ac:dyDescent="0.25"/>
    <row r="291" spans="1:11" hidden="1" outlineLevel="1" x14ac:dyDescent="0.25"/>
    <row r="292" spans="1:11" hidden="1" outlineLevel="1" x14ac:dyDescent="0.25"/>
    <row r="293" spans="1:11" s="3" customFormat="1" ht="5.25" hidden="1" customHeight="1" outlineLevel="1" x14ac:dyDescent="0.25">
      <c r="A293" s="33"/>
    </row>
    <row r="294" spans="1:11" collapsed="1" x14ac:dyDescent="0.25"/>
    <row r="295" spans="1:11" x14ac:dyDescent="0.25">
      <c r="A295" s="37"/>
      <c r="B295" s="12" t="s">
        <v>0</v>
      </c>
      <c r="C295" s="12" t="s">
        <v>1</v>
      </c>
      <c r="D295" s="12" t="s">
        <v>2</v>
      </c>
      <c r="E295" s="12" t="s">
        <v>3</v>
      </c>
      <c r="F295" s="13" t="s">
        <v>27</v>
      </c>
      <c r="G295" s="12" t="s">
        <v>4</v>
      </c>
      <c r="H295" s="12" t="s">
        <v>5</v>
      </c>
      <c r="I295" s="12" t="s">
        <v>6</v>
      </c>
      <c r="J295" s="13" t="s">
        <v>28</v>
      </c>
      <c r="K295" s="12" t="s">
        <v>7</v>
      </c>
    </row>
    <row r="296" spans="1:11" x14ac:dyDescent="0.25">
      <c r="A296" s="38" t="s">
        <v>8</v>
      </c>
      <c r="B296" s="14">
        <f>179.98/0.702804</f>
        <v>256.08846847769792</v>
      </c>
      <c r="C296" s="14">
        <f>211.38/0.702804</f>
        <v>300.76664333156896</v>
      </c>
      <c r="D296" s="14">
        <f>136.55/0.702804</f>
        <v>194.29314574191383</v>
      </c>
      <c r="E296" s="14">
        <f>163.23/0.702804</f>
        <v>232.25536564959788</v>
      </c>
      <c r="F296" s="13"/>
      <c r="G296" s="14">
        <f>159.13/0.702804</f>
        <v>226.42159122600327</v>
      </c>
      <c r="H296" s="14">
        <f>148.34/0.702804</f>
        <v>211.06880438927496</v>
      </c>
      <c r="I296" s="14">
        <f>142.47/0.702804</f>
        <v>202.71654686086021</v>
      </c>
      <c r="J296" s="13"/>
      <c r="K296" s="14">
        <f>267.44/0.702804</f>
        <v>380.5328370356458</v>
      </c>
    </row>
    <row r="297" spans="1:11" hidden="1" outlineLevel="1" x14ac:dyDescent="0.25">
      <c r="A297" s="38" t="s">
        <v>9</v>
      </c>
      <c r="B297" s="14">
        <f>200.01/0.702804</f>
        <v>284.5885908446736</v>
      </c>
      <c r="C297" s="14">
        <f>234.79/0.702804</f>
        <v>334.07607241848365</v>
      </c>
      <c r="D297" s="14">
        <f>150.68/0.702804</f>
        <v>214.39832442615582</v>
      </c>
      <c r="E297" s="14">
        <f>186.15/0.702804</f>
        <v>264.86758754930253</v>
      </c>
      <c r="F297" s="13"/>
      <c r="G297" s="14">
        <f>172.84/0.702804</f>
        <v>245.92916374977946</v>
      </c>
      <c r="H297" s="14">
        <f>168.69/0.702804</f>
        <v>240.02424573565318</v>
      </c>
      <c r="I297" s="14">
        <f>156.18/0.702804</f>
        <v>222.22411938463642</v>
      </c>
      <c r="J297" s="13"/>
      <c r="K297" s="14">
        <f>273.8/0.702804</f>
        <v>389.58230175127068</v>
      </c>
    </row>
    <row r="298" spans="1:11" hidden="1" outlineLevel="1" x14ac:dyDescent="0.25">
      <c r="A298" s="38" t="s">
        <v>10</v>
      </c>
      <c r="B298" s="14">
        <f>224.06/0.702804</f>
        <v>318.80865789039336</v>
      </c>
      <c r="C298" s="14">
        <f>262.69/0.702804</f>
        <v>373.7741959351398</v>
      </c>
      <c r="D298" s="14">
        <f>173.55/0.702804</f>
        <v>246.9394027353288</v>
      </c>
      <c r="E298" s="14">
        <f>212.55/0.702804</f>
        <v>302.43140335000942</v>
      </c>
      <c r="F298" s="13"/>
      <c r="G298" s="14">
        <f>190.55/0.702804</f>
        <v>271.12822351608702</v>
      </c>
      <c r="H298" s="14">
        <f>185.4/0.702804</f>
        <v>263.8004336913279</v>
      </c>
      <c r="I298" s="14">
        <f>178.24/0.702804</f>
        <v>253.6126715271968</v>
      </c>
      <c r="J298" s="13"/>
      <c r="K298" s="14">
        <f>278.19/0.702804</f>
        <v>395.82870899994879</v>
      </c>
    </row>
    <row r="299" spans="1:11" hidden="1" outlineLevel="1" x14ac:dyDescent="0.25">
      <c r="A299" s="38" t="s">
        <v>11</v>
      </c>
      <c r="B299" s="14">
        <f>242.97/0.702804</f>
        <v>345.71516382946027</v>
      </c>
      <c r="C299" s="14">
        <f>281.75/0.702804</f>
        <v>400.89413264580168</v>
      </c>
      <c r="D299" s="14">
        <f>192.3/0.702804</f>
        <v>273.61824918469449</v>
      </c>
      <c r="E299" s="14">
        <f>222.11/0.702804</f>
        <v>316.03405785965936</v>
      </c>
      <c r="F299" s="13"/>
      <c r="G299" s="14">
        <f>207.95/0.702804</f>
        <v>295.88619302109834</v>
      </c>
      <c r="H299" s="14">
        <f>216.23/0.702804</f>
        <v>307.66757161313819</v>
      </c>
      <c r="I299" s="14">
        <f>205.89/0.702804</f>
        <v>292.95507709119471</v>
      </c>
      <c r="J299" s="13"/>
      <c r="K299" s="14">
        <f>261.93/0.702804</f>
        <v>372.69281335905885</v>
      </c>
    </row>
    <row r="300" spans="1:11" collapsed="1" x14ac:dyDescent="0.25">
      <c r="A300" s="38" t="s">
        <v>19</v>
      </c>
      <c r="B300" s="14">
        <f>285/0.702804</f>
        <v>405.51846603035841</v>
      </c>
      <c r="C300" s="14">
        <f>333/0.702804</f>
        <v>473.81631294073458</v>
      </c>
      <c r="D300" s="14">
        <f>229/0.702804</f>
        <v>325.83764463491957</v>
      </c>
      <c r="E300" s="14">
        <f>259/0.702804</f>
        <v>368.52379895390465</v>
      </c>
      <c r="F300" s="13"/>
      <c r="G300" s="14">
        <f>239/0.702804</f>
        <v>340.06636274124793</v>
      </c>
      <c r="H300" s="14">
        <f>247/0.702804</f>
        <v>351.4493372263106</v>
      </c>
      <c r="I300" s="14">
        <f>237/0.702804</f>
        <v>337.22061911998225</v>
      </c>
      <c r="J300" s="13"/>
      <c r="K300" s="14">
        <f>283/0.702804</f>
        <v>402.67272240909273</v>
      </c>
    </row>
    <row r="301" spans="1:11" hidden="1" outlineLevel="1" x14ac:dyDescent="0.25">
      <c r="A301" s="15">
        <v>2006</v>
      </c>
      <c r="B301" s="16">
        <f>350/0.702804</f>
        <v>498.00513372149277</v>
      </c>
      <c r="C301" s="16">
        <f>409/0.702804</f>
        <v>581.95457054883013</v>
      </c>
      <c r="D301" s="16">
        <f>274/0.702804</f>
        <v>389.86687611339721</v>
      </c>
      <c r="E301" s="16">
        <f>323/0.702804</f>
        <v>459.58759483440616</v>
      </c>
      <c r="F301" s="13"/>
      <c r="G301" s="16">
        <f>294/0.702804</f>
        <v>418.32431232605393</v>
      </c>
      <c r="H301" s="16">
        <f>301/0.702804</f>
        <v>428.28441500048376</v>
      </c>
      <c r="I301" s="17">
        <f>292/0.702804</f>
        <v>415.47856870478824</v>
      </c>
      <c r="J301" s="13"/>
      <c r="K301" s="17">
        <f>352/0.7028074</f>
        <v>500.84845435605831</v>
      </c>
    </row>
    <row r="302" spans="1:11" hidden="1" outlineLevel="1" x14ac:dyDescent="0.25">
      <c r="A302" s="15">
        <v>2007</v>
      </c>
      <c r="B302" s="16">
        <f>474/0.702804</f>
        <v>674.44123823996449</v>
      </c>
      <c r="C302" s="16">
        <f>552/0.702804</f>
        <v>785.42523946932579</v>
      </c>
      <c r="D302" s="16">
        <f>369/0.702804</f>
        <v>525.0396981235167</v>
      </c>
      <c r="E302" s="16">
        <f>453/0.702804</f>
        <v>644.56093021667493</v>
      </c>
      <c r="F302" s="13"/>
      <c r="G302" s="16">
        <f>414/0.702804</f>
        <v>589.06892960199434</v>
      </c>
      <c r="H302" s="16">
        <f>405/0.702804</f>
        <v>576.26308330629877</v>
      </c>
      <c r="I302" s="17">
        <f>391/0.702804</f>
        <v>556.3428779574391</v>
      </c>
      <c r="J302" s="13"/>
      <c r="K302" s="17">
        <f>471/0.702804</f>
        <v>670.17262280806597</v>
      </c>
    </row>
    <row r="303" spans="1:11" hidden="1" outlineLevel="1" x14ac:dyDescent="0.25">
      <c r="A303" s="15">
        <v>2008</v>
      </c>
      <c r="B303" s="16">
        <f>564/0.702804</f>
        <v>802.49970119691977</v>
      </c>
      <c r="C303" s="16">
        <f>659/0.702804</f>
        <v>937.67252320703926</v>
      </c>
      <c r="D303" s="16">
        <f>443/0.702804</f>
        <v>630.33221211034652</v>
      </c>
      <c r="E303" s="16">
        <f>518/0.702804</f>
        <v>737.04759790780929</v>
      </c>
      <c r="F303" s="13"/>
      <c r="G303" s="16">
        <f>489/0.702804</f>
        <v>695.784315399457</v>
      </c>
      <c r="H303" s="16">
        <f>478/0.702804</f>
        <v>680.13272548249586</v>
      </c>
      <c r="I303" s="17">
        <f>459/0.702804</f>
        <v>653.09816108047198</v>
      </c>
      <c r="J303" s="13"/>
      <c r="K303" s="17">
        <f>555/0.702804</f>
        <v>789.69385490122431</v>
      </c>
    </row>
    <row r="304" spans="1:11" hidden="1" outlineLevel="1" x14ac:dyDescent="0.25">
      <c r="A304" s="18">
        <v>2009</v>
      </c>
      <c r="B304" s="16">
        <f>504/0.702804</f>
        <v>717.12739255894962</v>
      </c>
      <c r="C304" s="16">
        <f>588/0.702804</f>
        <v>836.64862465210786</v>
      </c>
      <c r="D304" s="16">
        <f>381/0.702804</f>
        <v>542.11415985111068</v>
      </c>
      <c r="E304" s="16">
        <f>425/0.702804</f>
        <v>604.72051951895548</v>
      </c>
      <c r="F304" s="13"/>
      <c r="G304" s="16">
        <f>428/0.702804</f>
        <v>608.98913495085401</v>
      </c>
      <c r="H304" s="16">
        <f>436/0.702804</f>
        <v>620.37210943591674</v>
      </c>
      <c r="I304" s="17">
        <f>397/0.702804</f>
        <v>564.88010882123604</v>
      </c>
      <c r="J304" s="13"/>
      <c r="K304" s="17">
        <f>501/0.702804</f>
        <v>712.8587771270511</v>
      </c>
    </row>
    <row r="305" spans="1:11" collapsed="1" x14ac:dyDescent="0.25">
      <c r="A305" s="15">
        <v>2010</v>
      </c>
      <c r="B305" s="16">
        <f>470/0.702804</f>
        <v>668.74975099743313</v>
      </c>
      <c r="C305" s="16">
        <f>550/0.702804</f>
        <v>782.57949584806011</v>
      </c>
      <c r="D305" s="16">
        <f>359/0.702804</f>
        <v>510.81098001718829</v>
      </c>
      <c r="E305" s="16">
        <f>392/0.702804</f>
        <v>557.76574976807194</v>
      </c>
      <c r="F305" s="13"/>
      <c r="G305" s="16">
        <f>378/0.702804</f>
        <v>537.84554441921216</v>
      </c>
      <c r="H305" s="16">
        <f>401/0.702804</f>
        <v>570.5715960637674</v>
      </c>
      <c r="I305" s="17">
        <f>362/0.702804</f>
        <v>515.07959544908681</v>
      </c>
      <c r="J305" s="13"/>
      <c r="K305" s="17">
        <f>447/0.702804</f>
        <v>636.02369935287788</v>
      </c>
    </row>
    <row r="306" spans="1:11" hidden="1" outlineLevel="1" x14ac:dyDescent="0.25">
      <c r="A306" s="15">
        <v>2011</v>
      </c>
      <c r="B306" s="16">
        <f>493/0.702804</f>
        <v>701.47580264198837</v>
      </c>
      <c r="C306" s="16">
        <f>582/0.702804</f>
        <v>828.11139378831081</v>
      </c>
      <c r="D306" s="16">
        <f>376/0.702804</f>
        <v>534.99980079794648</v>
      </c>
      <c r="E306" s="16">
        <f>408/0.702804</f>
        <v>580.53169873819729</v>
      </c>
      <c r="F306" s="13"/>
      <c r="G306" s="16">
        <f>393/0.702804</f>
        <v>559.18862157870478</v>
      </c>
      <c r="H306" s="16">
        <f>414/0.702804</f>
        <v>589.06892960199434</v>
      </c>
      <c r="I306" s="17">
        <f>374/0.702804</f>
        <v>532.15405717668079</v>
      </c>
      <c r="J306" s="13"/>
      <c r="K306" s="17">
        <f>468/0.702804</f>
        <v>665.90400737616744</v>
      </c>
    </row>
    <row r="307" spans="1:11" hidden="1" outlineLevel="1" x14ac:dyDescent="0.25">
      <c r="A307" s="15">
        <v>2012</v>
      </c>
      <c r="B307" s="16">
        <v>732</v>
      </c>
      <c r="C307" s="16">
        <f>604/0.702804</f>
        <v>859.41457362223321</v>
      </c>
      <c r="D307" s="16">
        <f>395/0.702804</f>
        <v>562.03436519997047</v>
      </c>
      <c r="E307" s="16">
        <v>601</v>
      </c>
      <c r="F307" s="19"/>
      <c r="G307" s="16">
        <f>407/0.702804</f>
        <v>579.10882692756445</v>
      </c>
      <c r="H307" s="16">
        <v>611</v>
      </c>
      <c r="I307" s="17">
        <f>386/0.702804</f>
        <v>549.22851890427489</v>
      </c>
      <c r="J307" s="19"/>
      <c r="K307" s="17">
        <f>498/0.702804</f>
        <v>708.59016169515257</v>
      </c>
    </row>
    <row r="308" spans="1:11" hidden="1" outlineLevel="1" x14ac:dyDescent="0.25">
      <c r="A308" s="15">
        <v>2013</v>
      </c>
      <c r="B308" s="19">
        <v>766</v>
      </c>
      <c r="C308" s="19">
        <v>894</v>
      </c>
      <c r="D308" s="19">
        <v>579</v>
      </c>
      <c r="E308" s="19">
        <v>612</v>
      </c>
      <c r="F308" s="19">
        <v>545</v>
      </c>
      <c r="G308" s="16">
        <v>637</v>
      </c>
      <c r="H308" s="19">
        <v>662</v>
      </c>
      <c r="I308" s="17">
        <v>569</v>
      </c>
      <c r="J308" s="19">
        <v>642</v>
      </c>
      <c r="K308" s="17">
        <v>748</v>
      </c>
    </row>
    <row r="309" spans="1:11" hidden="1" outlineLevel="1" x14ac:dyDescent="0.25">
      <c r="A309" s="15">
        <v>2014</v>
      </c>
      <c r="B309" s="19">
        <v>812</v>
      </c>
      <c r="C309" s="19">
        <v>950</v>
      </c>
      <c r="D309" s="19">
        <v>598</v>
      </c>
      <c r="E309" s="19">
        <v>639</v>
      </c>
      <c r="F309" s="19">
        <v>577</v>
      </c>
      <c r="G309" s="19">
        <v>711</v>
      </c>
      <c r="H309" s="19">
        <v>684</v>
      </c>
      <c r="I309" s="17">
        <v>595</v>
      </c>
      <c r="J309" s="19">
        <v>672</v>
      </c>
      <c r="K309" s="17">
        <v>814</v>
      </c>
    </row>
    <row r="310" spans="1:11" collapsed="1" x14ac:dyDescent="0.25">
      <c r="A310" s="15">
        <v>2015</v>
      </c>
      <c r="B310" s="19">
        <v>855</v>
      </c>
      <c r="C310" s="19">
        <v>996</v>
      </c>
      <c r="D310" s="19">
        <v>630</v>
      </c>
      <c r="E310" s="19">
        <v>676</v>
      </c>
      <c r="F310" s="19">
        <v>730</v>
      </c>
      <c r="G310" s="19">
        <v>778</v>
      </c>
      <c r="H310" s="19">
        <v>725</v>
      </c>
      <c r="I310" s="19">
        <v>638</v>
      </c>
      <c r="J310" s="19">
        <v>686</v>
      </c>
      <c r="K310" s="19">
        <v>831</v>
      </c>
    </row>
    <row r="311" spans="1:11" x14ac:dyDescent="0.25">
      <c r="A311" s="15">
        <v>2016</v>
      </c>
      <c r="B311" s="19">
        <v>887</v>
      </c>
      <c r="C311" s="19">
        <v>1029</v>
      </c>
      <c r="D311" s="19">
        <v>647</v>
      </c>
      <c r="E311" s="19">
        <v>726</v>
      </c>
      <c r="F311" s="19">
        <v>773</v>
      </c>
      <c r="G311" s="19">
        <v>809</v>
      </c>
      <c r="H311" s="19">
        <v>760</v>
      </c>
      <c r="I311" s="19">
        <v>682</v>
      </c>
      <c r="J311" s="19">
        <v>730</v>
      </c>
      <c r="K311" s="19">
        <v>855</v>
      </c>
    </row>
    <row r="312" spans="1:11" x14ac:dyDescent="0.25">
      <c r="A312" s="15">
        <v>2017</v>
      </c>
      <c r="B312" s="19">
        <v>951</v>
      </c>
      <c r="C312" s="19">
        <v>1102</v>
      </c>
      <c r="D312" s="19">
        <v>691</v>
      </c>
      <c r="E312" s="19">
        <v>821</v>
      </c>
      <c r="F312" s="19">
        <v>844</v>
      </c>
      <c r="G312" s="19">
        <v>856</v>
      </c>
      <c r="H312" s="19">
        <v>823</v>
      </c>
      <c r="I312" s="19">
        <v>738</v>
      </c>
      <c r="J312" s="19">
        <v>798</v>
      </c>
      <c r="K312" s="19">
        <v>907</v>
      </c>
    </row>
    <row r="313" spans="1:11" x14ac:dyDescent="0.25">
      <c r="A313" s="15">
        <v>2018</v>
      </c>
      <c r="B313" s="19">
        <v>1032</v>
      </c>
      <c r="C313" s="19">
        <v>1204</v>
      </c>
      <c r="D313" s="19">
        <v>771</v>
      </c>
      <c r="E313" s="19">
        <v>914</v>
      </c>
      <c r="F313" s="19">
        <v>890</v>
      </c>
      <c r="G313" s="19">
        <v>933</v>
      </c>
      <c r="H313" s="19">
        <v>873</v>
      </c>
      <c r="I313" s="19">
        <v>794</v>
      </c>
      <c r="J313" s="19">
        <v>862</v>
      </c>
      <c r="K313" s="19">
        <v>983</v>
      </c>
    </row>
    <row r="314" spans="1:11" x14ac:dyDescent="0.25">
      <c r="A314" s="15">
        <v>2019</v>
      </c>
      <c r="B314" s="19">
        <v>1103</v>
      </c>
      <c r="C314" s="16">
        <v>1287.5</v>
      </c>
      <c r="D314" s="16">
        <v>838.5</v>
      </c>
      <c r="E314" s="16">
        <v>979.5</v>
      </c>
      <c r="F314" s="16">
        <v>951.5</v>
      </c>
      <c r="G314" s="16">
        <v>982.75</v>
      </c>
      <c r="H314" s="16">
        <v>939.25</v>
      </c>
      <c r="I314" s="16">
        <v>865.75</v>
      </c>
      <c r="J314" s="16">
        <v>936.25</v>
      </c>
      <c r="K314" s="16">
        <v>1048.25</v>
      </c>
    </row>
    <row r="315" spans="1:11" x14ac:dyDescent="0.25">
      <c r="A315" s="15">
        <v>2020</v>
      </c>
      <c r="B315" s="30">
        <v>1156</v>
      </c>
      <c r="C315" s="30">
        <v>1351</v>
      </c>
      <c r="D315" s="30">
        <v>914</v>
      </c>
      <c r="E315" s="31">
        <v>1071</v>
      </c>
      <c r="F315" s="30">
        <v>979</v>
      </c>
      <c r="G315" s="30">
        <v>1037</v>
      </c>
      <c r="H315" s="30">
        <v>1038</v>
      </c>
      <c r="I315" s="30">
        <v>882</v>
      </c>
      <c r="J315" s="30">
        <v>1032</v>
      </c>
      <c r="K315" s="30">
        <v>1076</v>
      </c>
    </row>
    <row r="316" spans="1:11" x14ac:dyDescent="0.25">
      <c r="A316" s="15">
        <v>2021</v>
      </c>
      <c r="B316" s="19">
        <v>1293</v>
      </c>
      <c r="C316" s="19">
        <v>1510</v>
      </c>
      <c r="D316" s="19">
        <v>1066</v>
      </c>
      <c r="E316" s="19">
        <v>1218</v>
      </c>
      <c r="F316" s="19"/>
      <c r="G316" s="19">
        <v>1177</v>
      </c>
      <c r="H316" s="19">
        <v>1152</v>
      </c>
      <c r="I316" s="19">
        <v>1012</v>
      </c>
      <c r="J316" s="19"/>
      <c r="K316" s="19">
        <v>1252</v>
      </c>
    </row>
    <row r="317" spans="1:11" ht="14.4" customHeight="1" x14ac:dyDescent="0.25">
      <c r="A317" s="15">
        <v>2022</v>
      </c>
      <c r="B317" s="40">
        <v>1373</v>
      </c>
      <c r="C317" s="40">
        <v>1594</v>
      </c>
      <c r="D317" s="40">
        <v>1130</v>
      </c>
      <c r="E317" s="40">
        <v>1250</v>
      </c>
      <c r="F317" s="40"/>
      <c r="G317" s="40">
        <v>1207</v>
      </c>
      <c r="H317" s="40">
        <v>1221</v>
      </c>
      <c r="I317" s="40">
        <v>1083</v>
      </c>
      <c r="J317" s="40"/>
      <c r="K317" s="40">
        <v>1319</v>
      </c>
    </row>
    <row r="318" spans="1:11" x14ac:dyDescent="0.25">
      <c r="A318" s="15"/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20" spans="1:11" x14ac:dyDescent="0.25">
      <c r="C320" s="29"/>
    </row>
    <row r="321" spans="1:3" x14ac:dyDescent="0.25">
      <c r="C321" s="29"/>
    </row>
    <row r="322" spans="1:3" x14ac:dyDescent="0.25">
      <c r="C322" s="29"/>
    </row>
    <row r="323" spans="1:3" x14ac:dyDescent="0.25">
      <c r="C323" s="29"/>
    </row>
    <row r="324" spans="1:3" x14ac:dyDescent="0.25">
      <c r="C324" s="29"/>
    </row>
    <row r="325" spans="1:3" x14ac:dyDescent="0.25">
      <c r="C325" s="29"/>
    </row>
    <row r="326" spans="1:3" x14ac:dyDescent="0.25">
      <c r="C326" s="29"/>
    </row>
    <row r="327" spans="1:3" x14ac:dyDescent="0.25">
      <c r="C327" s="29"/>
    </row>
    <row r="328" spans="1:3" x14ac:dyDescent="0.25">
      <c r="C328" s="29"/>
    </row>
    <row r="329" spans="1:3" x14ac:dyDescent="0.25">
      <c r="C329" s="29"/>
    </row>
    <row r="334" spans="1:3" s="3" customFormat="1" ht="5.25" customHeight="1" x14ac:dyDescent="0.25">
      <c r="A334" s="33"/>
    </row>
    <row r="338" spans="1:12" x14ac:dyDescent="0.25">
      <c r="A338" s="15"/>
      <c r="B338" s="13" t="s">
        <v>0</v>
      </c>
      <c r="C338" s="13" t="s">
        <v>1</v>
      </c>
      <c r="D338" s="13" t="s">
        <v>2</v>
      </c>
      <c r="E338" s="13" t="s">
        <v>3</v>
      </c>
      <c r="F338" s="13" t="s">
        <v>27</v>
      </c>
      <c r="G338" s="13" t="s">
        <v>4</v>
      </c>
      <c r="H338" s="13" t="s">
        <v>5</v>
      </c>
      <c r="I338" s="13" t="s">
        <v>6</v>
      </c>
      <c r="J338" s="13" t="s">
        <v>28</v>
      </c>
      <c r="K338" s="13" t="s">
        <v>7</v>
      </c>
      <c r="L338" s="13"/>
    </row>
    <row r="339" spans="1:12" x14ac:dyDescent="0.25">
      <c r="A339" s="15">
        <v>2007</v>
      </c>
      <c r="B339" s="13">
        <v>647</v>
      </c>
      <c r="C339" s="13">
        <v>727</v>
      </c>
      <c r="D339" s="13">
        <v>374</v>
      </c>
      <c r="E339" s="13">
        <v>477</v>
      </c>
      <c r="F339" s="13"/>
      <c r="G339" s="13">
        <v>443</v>
      </c>
      <c r="H339" s="13">
        <v>593</v>
      </c>
      <c r="I339" s="13">
        <v>406</v>
      </c>
      <c r="J339" s="13"/>
      <c r="K339" s="13">
        <v>683</v>
      </c>
      <c r="L339" s="13"/>
    </row>
    <row r="340" spans="1:12" x14ac:dyDescent="0.25">
      <c r="A340" s="15">
        <v>2008</v>
      </c>
      <c r="B340" s="13">
        <v>768</v>
      </c>
      <c r="C340" s="13">
        <v>858</v>
      </c>
      <c r="D340" s="13">
        <v>475</v>
      </c>
      <c r="E340" s="13">
        <v>573</v>
      </c>
      <c r="F340" s="13"/>
      <c r="G340" s="13">
        <v>602</v>
      </c>
      <c r="H340" s="13">
        <v>693</v>
      </c>
      <c r="I340" s="13">
        <v>485</v>
      </c>
      <c r="J340" s="13"/>
      <c r="K340" s="13">
        <v>818</v>
      </c>
      <c r="L340" s="13"/>
    </row>
    <row r="341" spans="1:12" x14ac:dyDescent="0.25">
      <c r="A341" s="15">
        <v>2009</v>
      </c>
      <c r="B341" s="13">
        <v>721</v>
      </c>
      <c r="C341" s="13">
        <v>814</v>
      </c>
      <c r="D341" s="13">
        <v>434</v>
      </c>
      <c r="E341" s="13">
        <v>534</v>
      </c>
      <c r="F341" s="13"/>
      <c r="G341" s="13">
        <v>535</v>
      </c>
      <c r="H341" s="13">
        <v>515</v>
      </c>
      <c r="I341" s="13">
        <v>468</v>
      </c>
      <c r="J341" s="13"/>
      <c r="K341" s="13">
        <v>804</v>
      </c>
      <c r="L341" s="13"/>
    </row>
    <row r="342" spans="1:12" x14ac:dyDescent="0.25">
      <c r="A342" s="15">
        <v>2010</v>
      </c>
      <c r="B342" s="13">
        <v>711</v>
      </c>
      <c r="C342" s="13">
        <v>795</v>
      </c>
      <c r="D342" s="13">
        <v>448</v>
      </c>
      <c r="E342" s="13">
        <v>515</v>
      </c>
      <c r="F342" s="13">
        <v>524</v>
      </c>
      <c r="G342" s="13">
        <v>561</v>
      </c>
      <c r="H342" s="13">
        <v>646</v>
      </c>
      <c r="I342" s="13">
        <v>497</v>
      </c>
      <c r="J342" s="13">
        <v>615</v>
      </c>
      <c r="K342" s="13">
        <v>827</v>
      </c>
      <c r="L342" s="13"/>
    </row>
    <row r="343" spans="1:12" hidden="1" outlineLevel="1" x14ac:dyDescent="0.25">
      <c r="A343" s="15">
        <v>2011</v>
      </c>
      <c r="B343" s="13">
        <v>738</v>
      </c>
      <c r="C343" s="13">
        <v>821</v>
      </c>
      <c r="D343" s="13">
        <v>478</v>
      </c>
      <c r="E343" s="13">
        <v>562</v>
      </c>
      <c r="F343" s="13">
        <v>571</v>
      </c>
      <c r="G343" s="13">
        <v>573</v>
      </c>
      <c r="H343" s="13">
        <v>660</v>
      </c>
      <c r="I343" s="13">
        <v>525</v>
      </c>
      <c r="J343" s="13">
        <v>679</v>
      </c>
      <c r="K343" s="13">
        <v>872</v>
      </c>
      <c r="L343" s="13"/>
    </row>
    <row r="344" spans="1:12" hidden="1" outlineLevel="1" x14ac:dyDescent="0.25">
      <c r="A344" s="15">
        <v>2012</v>
      </c>
      <c r="B344" s="13">
        <v>768</v>
      </c>
      <c r="C344" s="13">
        <v>759</v>
      </c>
      <c r="D344" s="13">
        <v>482</v>
      </c>
      <c r="E344" s="13">
        <v>589</v>
      </c>
      <c r="F344" s="13">
        <v>617</v>
      </c>
      <c r="G344" s="13">
        <v>574</v>
      </c>
      <c r="H344" s="13">
        <v>738</v>
      </c>
      <c r="I344" s="13">
        <v>458</v>
      </c>
      <c r="J344" s="13">
        <v>745</v>
      </c>
      <c r="K344" s="13">
        <v>882</v>
      </c>
      <c r="L344" s="13"/>
    </row>
    <row r="345" spans="1:12" hidden="1" outlineLevel="1" x14ac:dyDescent="0.25">
      <c r="A345" s="15">
        <v>2013</v>
      </c>
      <c r="B345" s="13">
        <v>803</v>
      </c>
      <c r="C345" s="13">
        <v>897</v>
      </c>
      <c r="D345" s="13">
        <v>500</v>
      </c>
      <c r="E345" s="13">
        <v>627</v>
      </c>
      <c r="F345" s="13">
        <v>702</v>
      </c>
      <c r="G345" s="13">
        <v>616</v>
      </c>
      <c r="H345" s="13">
        <v>693</v>
      </c>
      <c r="I345" s="13">
        <v>500</v>
      </c>
      <c r="J345" s="13">
        <v>764</v>
      </c>
      <c r="K345" s="13">
        <v>931</v>
      </c>
      <c r="L345" s="13"/>
    </row>
    <row r="346" spans="1:12" hidden="1" outlineLevel="1" x14ac:dyDescent="0.25">
      <c r="A346" s="15">
        <v>2014</v>
      </c>
      <c r="B346" s="13">
        <v>859</v>
      </c>
      <c r="C346" s="13">
        <v>962</v>
      </c>
      <c r="D346" s="13">
        <v>536</v>
      </c>
      <c r="E346" s="13">
        <v>694</v>
      </c>
      <c r="F346" s="13">
        <v>689</v>
      </c>
      <c r="G346" s="13">
        <v>642</v>
      </c>
      <c r="H346" s="13">
        <v>783</v>
      </c>
      <c r="I346" s="13">
        <v>547</v>
      </c>
      <c r="J346" s="13">
        <v>830</v>
      </c>
      <c r="K346" s="13">
        <v>927</v>
      </c>
      <c r="L346" s="13"/>
    </row>
    <row r="347" spans="1:12" collapsed="1" x14ac:dyDescent="0.25">
      <c r="A347" s="15">
        <v>2015</v>
      </c>
      <c r="B347" s="13">
        <v>916</v>
      </c>
      <c r="C347" s="13">
        <v>1020</v>
      </c>
      <c r="D347" s="13">
        <v>562</v>
      </c>
      <c r="E347" s="13">
        <v>763</v>
      </c>
      <c r="F347" s="13">
        <v>663</v>
      </c>
      <c r="G347" s="13">
        <v>681</v>
      </c>
      <c r="H347" s="13">
        <v>890</v>
      </c>
      <c r="I347" s="13">
        <v>639</v>
      </c>
      <c r="J347" s="13">
        <v>867</v>
      </c>
      <c r="K347" s="13">
        <v>973</v>
      </c>
      <c r="L347" s="13"/>
    </row>
    <row r="348" spans="1:12" x14ac:dyDescent="0.25">
      <c r="A348" s="15">
        <v>2016</v>
      </c>
      <c r="B348" s="13">
        <v>973</v>
      </c>
      <c r="C348" s="13">
        <v>1071</v>
      </c>
      <c r="D348" s="13">
        <v>608</v>
      </c>
      <c r="E348" s="13">
        <v>840</v>
      </c>
      <c r="F348" s="13">
        <v>717</v>
      </c>
      <c r="G348" s="13">
        <v>734</v>
      </c>
      <c r="H348" s="13">
        <v>946</v>
      </c>
      <c r="I348" s="13">
        <v>650</v>
      </c>
      <c r="J348" s="13">
        <v>939</v>
      </c>
      <c r="K348" s="13">
        <v>970</v>
      </c>
      <c r="L348" s="13"/>
    </row>
    <row r="349" spans="1:12" x14ac:dyDescent="0.25">
      <c r="A349" s="15">
        <v>2017</v>
      </c>
      <c r="B349" s="13">
        <v>1051</v>
      </c>
      <c r="C349" s="13">
        <v>1154</v>
      </c>
      <c r="D349" s="13">
        <v>656</v>
      </c>
      <c r="E349" s="13">
        <v>967</v>
      </c>
      <c r="F349" s="13">
        <v>799</v>
      </c>
      <c r="G349" s="13">
        <v>782</v>
      </c>
      <c r="H349" s="13">
        <v>977</v>
      </c>
      <c r="I349" s="13">
        <v>707</v>
      </c>
      <c r="J349" s="13">
        <v>1016</v>
      </c>
      <c r="K349" s="13">
        <v>1005</v>
      </c>
      <c r="L349" s="13"/>
    </row>
    <row r="350" spans="1:12" x14ac:dyDescent="0.25">
      <c r="A350" s="15">
        <v>2018</v>
      </c>
      <c r="B350" s="25">
        <v>1128</v>
      </c>
      <c r="C350" s="25">
        <v>1221</v>
      </c>
      <c r="D350" s="25">
        <v>720</v>
      </c>
      <c r="E350" s="25">
        <v>1046</v>
      </c>
      <c r="F350" s="25">
        <v>821</v>
      </c>
      <c r="G350" s="25">
        <v>856</v>
      </c>
      <c r="H350" s="25">
        <v>1073</v>
      </c>
      <c r="I350" s="25">
        <v>778</v>
      </c>
      <c r="J350" s="25">
        <v>1112</v>
      </c>
      <c r="K350" s="25">
        <v>1077</v>
      </c>
      <c r="L350" s="13"/>
    </row>
    <row r="351" spans="1:12" x14ac:dyDescent="0.25">
      <c r="A351" s="23">
        <v>2019</v>
      </c>
      <c r="B351" s="26">
        <v>1207</v>
      </c>
      <c r="C351" s="26">
        <v>1300</v>
      </c>
      <c r="D351" s="26">
        <v>754</v>
      </c>
      <c r="E351" s="26">
        <v>1125</v>
      </c>
      <c r="F351" s="26">
        <v>883</v>
      </c>
      <c r="G351" s="26">
        <v>943</v>
      </c>
      <c r="H351" s="26">
        <v>1158</v>
      </c>
      <c r="I351" s="26">
        <v>773</v>
      </c>
      <c r="J351" s="26">
        <v>1184</v>
      </c>
      <c r="K351" s="26">
        <v>1157</v>
      </c>
      <c r="L351" s="24"/>
    </row>
    <row r="352" spans="1:12" x14ac:dyDescent="0.25">
      <c r="A352" s="15">
        <v>2020</v>
      </c>
      <c r="B352" s="22">
        <v>1271</v>
      </c>
      <c r="C352" s="22">
        <v>1343</v>
      </c>
      <c r="D352" s="22">
        <v>792</v>
      </c>
      <c r="E352" s="22">
        <v>1117</v>
      </c>
      <c r="F352" s="22">
        <v>931</v>
      </c>
      <c r="G352" s="22">
        <v>993</v>
      </c>
      <c r="H352" s="22">
        <v>1245</v>
      </c>
      <c r="I352" s="22">
        <v>860</v>
      </c>
      <c r="J352" s="22">
        <v>1258</v>
      </c>
      <c r="K352" s="22">
        <v>1125</v>
      </c>
      <c r="L352" s="13"/>
    </row>
    <row r="353" spans="1:12" x14ac:dyDescent="0.25">
      <c r="A353" s="15">
        <v>2021</v>
      </c>
      <c r="B353" s="13">
        <v>1399</v>
      </c>
      <c r="C353" s="13">
        <v>1457</v>
      </c>
      <c r="D353" s="13">
        <v>955</v>
      </c>
      <c r="E353" s="13">
        <v>1433</v>
      </c>
      <c r="F353" s="13"/>
      <c r="G353" s="13">
        <v>1024</v>
      </c>
      <c r="H353" s="13">
        <v>1389</v>
      </c>
      <c r="I353" s="13">
        <v>979</v>
      </c>
      <c r="J353" s="13"/>
      <c r="K353" s="13">
        <v>1187</v>
      </c>
      <c r="L353" s="13"/>
    </row>
    <row r="354" spans="1:12" x14ac:dyDescent="0.25">
      <c r="A354" s="15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x14ac:dyDescent="0.25">
      <c r="A355" s="15"/>
      <c r="B355" s="25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x14ac:dyDescent="0.25">
      <c r="B356" s="29"/>
    </row>
    <row r="357" spans="1:12" x14ac:dyDescent="0.25">
      <c r="B357" s="29"/>
    </row>
    <row r="358" spans="1:12" x14ac:dyDescent="0.25">
      <c r="B358" s="29"/>
    </row>
    <row r="359" spans="1:12" x14ac:dyDescent="0.25">
      <c r="B359" s="29"/>
    </row>
    <row r="360" spans="1:12" x14ac:dyDescent="0.25">
      <c r="B360" s="29"/>
    </row>
    <row r="361" spans="1:12" x14ac:dyDescent="0.25">
      <c r="B361" s="29"/>
    </row>
    <row r="362" spans="1:12" x14ac:dyDescent="0.25">
      <c r="B362" s="29"/>
    </row>
    <row r="363" spans="1:12" x14ac:dyDescent="0.25">
      <c r="B363" s="29"/>
    </row>
    <row r="364" spans="1:12" x14ac:dyDescent="0.25">
      <c r="B364" s="29"/>
    </row>
    <row r="365" spans="1:12" x14ac:dyDescent="0.25">
      <c r="B365" s="29"/>
    </row>
    <row r="366" spans="1:12" x14ac:dyDescent="0.25">
      <c r="B366" s="28"/>
    </row>
    <row r="371" spans="1:1" s="3" customFormat="1" ht="5.25" customHeight="1" x14ac:dyDescent="0.25">
      <c r="A371" s="33"/>
    </row>
  </sheetData>
  <phoneticPr fontId="1" type="noConversion"/>
  <printOptions horizontalCentered="1" verticalCentered="1"/>
  <pageMargins left="0.74803149606299213" right="3.937007874015748E-2" top="0.6692913385826772" bottom="0.98425196850393704" header="0.51181102362204722" footer="0.51181102362204722"/>
  <pageSetup paperSize="9" scale="80" orientation="portrait" horizontalDpi="4294967293" verticalDpi="300" r:id="rId1"/>
  <headerFooter alignWithMargins="0"/>
  <ignoredErrors>
    <ignoredError sqref="A13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ienemumi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Sintija Biša</cp:lastModifiedBy>
  <cp:lastPrinted>2005-05-23T10:45:02Z</cp:lastPrinted>
  <dcterms:created xsi:type="dcterms:W3CDTF">2005-05-23T10:39:36Z</dcterms:created>
  <dcterms:modified xsi:type="dcterms:W3CDTF">2023-07-21T09:47:59Z</dcterms:modified>
</cp:coreProperties>
</file>