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368845B7-36BA-4DB5-8D9F-D3C69F1C39DE}" xr6:coauthVersionLast="47" xr6:coauthVersionMax="47" xr10:uidLastSave="{00000000-0000-0000-0000-000000000000}"/>
  <bookViews>
    <workbookView xWindow="-108" yWindow="-108" windowWidth="23256" windowHeight="12456" tabRatio="905" xr2:uid="{00000000-000D-0000-FFFF-FFFF00000000}"/>
  </bookViews>
  <sheets>
    <sheet name="rūpniecība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6" i="1" l="1"/>
  <c r="K253" i="1" l="1"/>
  <c r="K251" i="1"/>
  <c r="K250" i="1"/>
  <c r="K249" i="1"/>
  <c r="I253" i="1"/>
  <c r="I252" i="1"/>
  <c r="I251" i="1"/>
  <c r="I250" i="1"/>
  <c r="I249" i="1"/>
  <c r="H253" i="1"/>
  <c r="H252" i="1"/>
  <c r="H251" i="1"/>
  <c r="H250" i="1"/>
  <c r="H249" i="1"/>
  <c r="G253" i="1"/>
  <c r="G252" i="1"/>
  <c r="G251" i="1"/>
  <c r="G250" i="1"/>
  <c r="G249" i="1"/>
  <c r="E253" i="1"/>
  <c r="E252" i="1"/>
  <c r="E251" i="1"/>
  <c r="E250" i="1"/>
  <c r="E249" i="1"/>
  <c r="D253" i="1"/>
  <c r="D252" i="1"/>
  <c r="D251" i="1"/>
  <c r="D250" i="1"/>
  <c r="D249" i="1"/>
  <c r="C253" i="1"/>
  <c r="C252" i="1"/>
  <c r="C251" i="1"/>
  <c r="C250" i="1"/>
  <c r="C249" i="1"/>
  <c r="B253" i="1"/>
  <c r="B252" i="1"/>
  <c r="B251" i="1"/>
  <c r="B250" i="1"/>
  <c r="B249" i="1"/>
  <c r="K205" i="1"/>
  <c r="K204" i="1"/>
  <c r="K203" i="1"/>
  <c r="K202" i="1"/>
  <c r="K201" i="1"/>
  <c r="I205" i="1"/>
  <c r="I204" i="1"/>
  <c r="I203" i="1"/>
  <c r="I202" i="1"/>
  <c r="I201" i="1"/>
  <c r="H205" i="1"/>
  <c r="H204" i="1"/>
  <c r="H203" i="1"/>
  <c r="H202" i="1"/>
  <c r="H201" i="1"/>
  <c r="G205" i="1"/>
  <c r="G204" i="1"/>
  <c r="G203" i="1"/>
  <c r="G202" i="1"/>
  <c r="G201" i="1"/>
  <c r="E205" i="1"/>
  <c r="E204" i="1"/>
  <c r="E203" i="1"/>
  <c r="E202" i="1"/>
  <c r="E201" i="1"/>
  <c r="D205" i="1"/>
  <c r="D204" i="1"/>
  <c r="D203" i="1"/>
  <c r="D202" i="1"/>
  <c r="D201" i="1"/>
  <c r="C205" i="1"/>
  <c r="C204" i="1"/>
  <c r="C203" i="1"/>
  <c r="C202" i="1"/>
  <c r="C201" i="1"/>
  <c r="B205" i="1"/>
  <c r="B204" i="1"/>
  <c r="B203" i="1"/>
  <c r="B202" i="1"/>
  <c r="B201" i="1"/>
  <c r="K156" i="1"/>
  <c r="K155" i="1"/>
  <c r="K154" i="1"/>
  <c r="K153" i="1"/>
  <c r="K152" i="1"/>
  <c r="I156" i="1"/>
  <c r="I155" i="1"/>
  <c r="I154" i="1"/>
  <c r="I153" i="1"/>
  <c r="I152" i="1"/>
  <c r="H156" i="1"/>
  <c r="H155" i="1"/>
  <c r="H154" i="1"/>
  <c r="H153" i="1"/>
  <c r="H152" i="1"/>
  <c r="G156" i="1"/>
  <c r="G155" i="1"/>
  <c r="G154" i="1"/>
  <c r="G153" i="1"/>
  <c r="G152" i="1"/>
  <c r="E156" i="1"/>
  <c r="E155" i="1"/>
  <c r="E154" i="1"/>
  <c r="E153" i="1"/>
  <c r="E152" i="1"/>
  <c r="D156" i="1"/>
  <c r="D155" i="1"/>
  <c r="D154" i="1"/>
  <c r="D153" i="1"/>
  <c r="D152" i="1"/>
  <c r="C156" i="1"/>
  <c r="C155" i="1"/>
  <c r="C154" i="1"/>
  <c r="C153" i="1"/>
  <c r="C152" i="1"/>
  <c r="B156" i="1"/>
  <c r="B155" i="1"/>
  <c r="B154" i="1"/>
  <c r="B153" i="1"/>
  <c r="B152" i="1"/>
</calcChain>
</file>

<file path=xl/sharedStrings.xml><?xml version="1.0" encoding="utf-8"?>
<sst xmlns="http://schemas.openxmlformats.org/spreadsheetml/2006/main" count="78" uniqueCount="21">
  <si>
    <t>Latvija</t>
  </si>
  <si>
    <t>Liepāja</t>
  </si>
  <si>
    <t>Rīga</t>
  </si>
  <si>
    <t>Daugavpils</t>
  </si>
  <si>
    <t>Jelgava</t>
  </si>
  <si>
    <t>Jūrmala</t>
  </si>
  <si>
    <t>Rēzekne</t>
  </si>
  <si>
    <t>Ventspils</t>
  </si>
  <si>
    <t>2003</t>
  </si>
  <si>
    <t>2004</t>
  </si>
  <si>
    <t>2005</t>
  </si>
  <si>
    <t>Jēkabpils</t>
  </si>
  <si>
    <t>Valmiera</t>
  </si>
  <si>
    <t>Rūpniecības produkcijas izlaide</t>
  </si>
  <si>
    <t>Pašražoto preču realizācija kopā, tai skaitā:</t>
  </si>
  <si>
    <t xml:space="preserve">          vietējā tirgū</t>
  </si>
  <si>
    <t xml:space="preserve">          eksports</t>
  </si>
  <si>
    <t xml:space="preserve">Rūpniecības produkcijas izlaide, </t>
  </si>
  <si>
    <t xml:space="preserve">          eksports:</t>
  </si>
  <si>
    <t xml:space="preserve"> </t>
  </si>
  <si>
    <t>Jūrmla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</si>
</sst>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 ;[Red]\-#,##0.0\ "/>
    <numFmt numFmtId="165" formatCode="#,##0_ ;[Red]\-#,##0\ "/>
    <numFmt numFmtId="166" formatCode="0.0"/>
    <numFmt numFmtId="167" formatCode="#,##0.00_ ;[Red]\-#,##0.00\ "/>
  </numFmts>
  <fonts count="6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4" fillId="2" borderId="0" xfId="0" applyFont="1" applyFill="1"/>
    <xf numFmtId="165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67" fontId="3" fillId="2" borderId="0" xfId="0" applyNumberFormat="1" applyFont="1" applyFill="1"/>
    <xf numFmtId="166" fontId="0" fillId="2" borderId="0" xfId="0" applyNumberFormat="1" applyFill="1"/>
    <xf numFmtId="165" fontId="5" fillId="2" borderId="0" xfId="0" applyNumberFormat="1" applyFont="1" applyFill="1" applyAlignment="1">
      <alignment horizontal="center" wrapText="1"/>
    </xf>
    <xf numFmtId="165" fontId="5" fillId="2" borderId="0" xfId="0" applyNumberFormat="1" applyFont="1" applyFill="1" applyAlignment="1">
      <alignment horizontal="left" wrapText="1"/>
    </xf>
    <xf numFmtId="0" fontId="5" fillId="2" borderId="0" xfId="0" applyFont="1" applyFill="1"/>
    <xf numFmtId="0" fontId="0" fillId="2" borderId="1" xfId="0" applyFill="1" applyBorder="1"/>
    <xf numFmtId="49" fontId="5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2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4" fillId="2" borderId="1" xfId="0" applyFont="1" applyFill="1" applyBorder="1"/>
    <xf numFmtId="166" fontId="0" fillId="2" borderId="1" xfId="0" applyNumberFormat="1" applyFill="1" applyBorder="1"/>
    <xf numFmtId="0" fontId="4" fillId="2" borderId="2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166" fontId="3" fillId="2" borderId="0" xfId="0" applyNumberFormat="1" applyFont="1" applyFill="1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4" fontId="5" fillId="4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" fontId="3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ysClr val="windowText" lastClr="000000"/>
                </a:solidFill>
              </a:rPr>
              <a:t>Apstrādes rūpniecības produkcijas izlaide (% no saražotā kopapjoma Latvijā)</a:t>
            </a:r>
          </a:p>
        </c:rich>
      </c:tx>
      <c:layout>
        <c:manualLayout>
          <c:xMode val="edge"/>
          <c:yMode val="edge"/>
          <c:x val="0.33713117942808746"/>
          <c:y val="1.7751871925100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1132497326724"/>
          <c:y val="6.6350261263213653E-2"/>
          <c:w val="0.84464994201306243"/>
          <c:h val="0.48550809936636707"/>
        </c:manualLayout>
      </c:layout>
      <c:lineChart>
        <c:grouping val="standard"/>
        <c:varyColors val="0"/>
        <c:ser>
          <c:idx val="1"/>
          <c:order val="0"/>
          <c:tx>
            <c:strRef>
              <c:f>rūpniecība!$B$66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rūpniecība!$A$67:$A$91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rūpniecība!$B$67:$B$91</c:f>
              <c:numCache>
                <c:formatCode>#\ ##0.0_ ;[Red]\-#\ ##0.0\ </c:formatCode>
                <c:ptCount val="9"/>
                <c:pt idx="0">
                  <c:v>47.5</c:v>
                </c:pt>
                <c:pt idx="1">
                  <c:v>45.8</c:v>
                </c:pt>
                <c:pt idx="2" formatCode="General">
                  <c:v>41.3</c:v>
                </c:pt>
                <c:pt idx="3" formatCode="General">
                  <c:v>38.9</c:v>
                </c:pt>
                <c:pt idx="4" formatCode="General">
                  <c:v>35.5</c:v>
                </c:pt>
                <c:pt idx="5" formatCode="General">
                  <c:v>34.299999999999997</c:v>
                </c:pt>
                <c:pt idx="6" formatCode="General">
                  <c:v>32.5</c:v>
                </c:pt>
                <c:pt idx="7" formatCode="General">
                  <c:v>33.200000000000003</c:v>
                </c:pt>
                <c:pt idx="8" formatCode="General">
                  <c:v>32.799999999999997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716-4693-8870-3AE86707C762}"/>
            </c:ext>
          </c:extLst>
        </c:ser>
        <c:ser>
          <c:idx val="2"/>
          <c:order val="1"/>
          <c:tx>
            <c:strRef>
              <c:f>rūpniecība!$C$66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rūpniecība!$A$67:$A$91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rūpniecība!$C$67:$C$91</c:f>
              <c:numCache>
                <c:formatCode>#\ ##0.0_ ;[Red]\-#\ ##0.0\ </c:formatCode>
                <c:ptCount val="9"/>
                <c:pt idx="0">
                  <c:v>2.9</c:v>
                </c:pt>
                <c:pt idx="1">
                  <c:v>3.4</c:v>
                </c:pt>
                <c:pt idx="2" formatCode="General">
                  <c:v>2.6</c:v>
                </c:pt>
                <c:pt idx="3" formatCode="General">
                  <c:v>2.5</c:v>
                </c:pt>
                <c:pt idx="4" formatCode="General">
                  <c:v>2.8</c:v>
                </c:pt>
                <c:pt idx="5" formatCode="General">
                  <c:v>2.5</c:v>
                </c:pt>
                <c:pt idx="6" formatCode="General">
                  <c:v>2.7</c:v>
                </c:pt>
                <c:pt idx="7" formatCode="0.0">
                  <c:v>3</c:v>
                </c:pt>
                <c:pt idx="8" formatCode="General">
                  <c:v>2.8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16-4693-8870-3AE86707C762}"/>
            </c:ext>
          </c:extLst>
        </c:ser>
        <c:ser>
          <c:idx val="3"/>
          <c:order val="2"/>
          <c:tx>
            <c:strRef>
              <c:f>rūpniecība!$D$66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rūpniecība!$A$67:$A$91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rūpniecība!$D$67:$D$91</c:f>
              <c:numCache>
                <c:formatCode>#\ ##0.0_ ;[Red]\-#\ ##0.0\ </c:formatCode>
                <c:ptCount val="9"/>
                <c:pt idx="0">
                  <c:v>3.2</c:v>
                </c:pt>
                <c:pt idx="1">
                  <c:v>2.2000000000000002</c:v>
                </c:pt>
                <c:pt idx="2">
                  <c:v>1.6</c:v>
                </c:pt>
                <c:pt idx="3" formatCode="General">
                  <c:v>2.2000000000000002</c:v>
                </c:pt>
                <c:pt idx="4" formatCode="General">
                  <c:v>2.8</c:v>
                </c:pt>
                <c:pt idx="5" formatCode="General">
                  <c:v>2.8</c:v>
                </c:pt>
                <c:pt idx="6" formatCode="General">
                  <c:v>2.9</c:v>
                </c:pt>
                <c:pt idx="7" formatCode="General">
                  <c:v>2.9</c:v>
                </c:pt>
                <c:pt idx="8" formatCode="General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16-4693-8870-3AE86707C762}"/>
            </c:ext>
          </c:extLst>
        </c:ser>
        <c:ser>
          <c:idx val="0"/>
          <c:order val="3"/>
          <c:tx>
            <c:strRef>
              <c:f>rūpniecība!$E$66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rūpniecība!$A$67:$A$91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rūpniecība!$E$67:$E$91</c:f>
              <c:numCache>
                <c:formatCode>General</c:formatCode>
                <c:ptCount val="9"/>
                <c:pt idx="3">
                  <c:v>0.6</c:v>
                </c:pt>
                <c:pt idx="4">
                  <c:v>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16-4693-8870-3AE86707C762}"/>
            </c:ext>
          </c:extLst>
        </c:ser>
        <c:ser>
          <c:idx val="4"/>
          <c:order val="4"/>
          <c:tx>
            <c:strRef>
              <c:f>rūpniecība!$F$66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rūpniecība!$A$67:$A$91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rūpniecība!$F$67:$F$91</c:f>
              <c:numCache>
                <c:formatCode>#\ ##0.0_ ;[Red]\-#\ ##0.0\ </c:formatCode>
                <c:ptCount val="9"/>
                <c:pt idx="0">
                  <c:v>1.4</c:v>
                </c:pt>
                <c:pt idx="1">
                  <c:v>0.5</c:v>
                </c:pt>
                <c:pt idx="2" formatCode="General">
                  <c:v>0.3</c:v>
                </c:pt>
                <c:pt idx="5" formatCode="General">
                  <c:v>0.2</c:v>
                </c:pt>
                <c:pt idx="6" formatCode="General">
                  <c:v>0.2</c:v>
                </c:pt>
                <c:pt idx="7" formatCode="General">
                  <c:v>0.2</c:v>
                </c:pt>
                <c:pt idx="8" formatCode="General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716-4693-8870-3AE86707C762}"/>
            </c:ext>
          </c:extLst>
        </c:ser>
        <c:ser>
          <c:idx val="5"/>
          <c:order val="5"/>
          <c:tx>
            <c:strRef>
              <c:f>rūpniecība!$G$66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rūpniecība!$A$67:$A$91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rūpniecība!$G$67:$G$91</c:f>
              <c:numCache>
                <c:formatCode>#\ ##0.0_ ;[Red]\-#\ ##0.0\ </c:formatCode>
                <c:ptCount val="9"/>
                <c:pt idx="0">
                  <c:v>8.8000000000000007</c:v>
                </c:pt>
                <c:pt idx="1">
                  <c:v>9.5</c:v>
                </c:pt>
                <c:pt idx="2" formatCode="General">
                  <c:v>9.8000000000000007</c:v>
                </c:pt>
                <c:pt idx="3" formatCode="General">
                  <c:v>4.3</c:v>
                </c:pt>
                <c:pt idx="4" formatCode="General">
                  <c:v>4.4000000000000004</c:v>
                </c:pt>
                <c:pt idx="5" formatCode="General">
                  <c:v>4.4000000000000004</c:v>
                </c:pt>
                <c:pt idx="6" formatCode="General">
                  <c:v>4.5999999999999996</c:v>
                </c:pt>
                <c:pt idx="7" formatCode="General">
                  <c:v>4.7</c:v>
                </c:pt>
                <c:pt idx="8" formatCode="General">
                  <c:v>4.7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716-4693-8870-3AE86707C762}"/>
            </c:ext>
          </c:extLst>
        </c:ser>
        <c:ser>
          <c:idx val="6"/>
          <c:order val="6"/>
          <c:tx>
            <c:strRef>
              <c:f>rūpniecība!$H$66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rūpniecība!$A$67:$A$91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rūpniecība!$H$67:$H$91</c:f>
              <c:numCache>
                <c:formatCode>#\ ##0.0_ ;[Red]\-#\ ##0.0\ </c:formatCode>
                <c:ptCount val="9"/>
                <c:pt idx="0">
                  <c:v>1.4</c:v>
                </c:pt>
                <c:pt idx="1">
                  <c:v>1.4</c:v>
                </c:pt>
                <c:pt idx="2" formatCode="General">
                  <c:v>0.9</c:v>
                </c:pt>
                <c:pt idx="3" formatCode="General">
                  <c:v>0.9</c:v>
                </c:pt>
                <c:pt idx="4" formatCode="General">
                  <c:v>1.3</c:v>
                </c:pt>
                <c:pt idx="5" formatCode="General">
                  <c:v>1.4</c:v>
                </c:pt>
                <c:pt idx="6" formatCode="General">
                  <c:v>1.6</c:v>
                </c:pt>
                <c:pt idx="7" formatCode="General">
                  <c:v>1.3</c:v>
                </c:pt>
                <c:pt idx="8" formatCode="General">
                  <c:v>1.3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716-4693-8870-3AE86707C762}"/>
            </c:ext>
          </c:extLst>
        </c:ser>
        <c:ser>
          <c:idx val="8"/>
          <c:order val="7"/>
          <c:tx>
            <c:strRef>
              <c:f>rūpniecība!$I$66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rūpniecība!$A$67:$A$91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rūpniecība!$I$67:$I$91</c:f>
              <c:numCache>
                <c:formatCode>General</c:formatCode>
                <c:ptCount val="9"/>
                <c:pt idx="3">
                  <c:v>2.7</c:v>
                </c:pt>
                <c:pt idx="4" formatCode="0.0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716-4693-8870-3AE86707C762}"/>
            </c:ext>
          </c:extLst>
        </c:ser>
        <c:ser>
          <c:idx val="7"/>
          <c:order val="8"/>
          <c:tx>
            <c:strRef>
              <c:f>rūpniecība!$J$66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rūpniecība!$A$67:$A$91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rūpniecība!$J$67:$J$91</c:f>
              <c:numCache>
                <c:formatCode>#\ ##0.0_ ;[Red]\-#\ ##0.0\ </c:formatCode>
                <c:ptCount val="9"/>
                <c:pt idx="0">
                  <c:v>0.4</c:v>
                </c:pt>
                <c:pt idx="1">
                  <c:v>0.2</c:v>
                </c:pt>
                <c:pt idx="2" formatCode="General">
                  <c:v>1.8</c:v>
                </c:pt>
                <c:pt idx="3" formatCode="General">
                  <c:v>2.4</c:v>
                </c:pt>
                <c:pt idx="4" formatCode="General">
                  <c:v>3.1</c:v>
                </c:pt>
                <c:pt idx="5" formatCode="General">
                  <c:v>3.8</c:v>
                </c:pt>
                <c:pt idx="6" formatCode="General">
                  <c:v>3.6</c:v>
                </c:pt>
                <c:pt idx="7" formatCode="General">
                  <c:v>3.2</c:v>
                </c:pt>
                <c:pt idx="8" formatCode="General">
                  <c:v>2.9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9716-4693-8870-3AE86707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60928"/>
        <c:axId val="1198368000"/>
      </c:lineChart>
      <c:catAx>
        <c:axId val="11983609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6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68000"/>
        <c:scaling>
          <c:orientation val="minMax"/>
          <c:max val="12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crossAx val="1198360928"/>
        <c:crosses val="autoZero"/>
        <c:crossBetween val="between"/>
        <c:majorUnit val="1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ysClr val="windowText" lastClr="000000"/>
                </a:solidFill>
              </a:rPr>
              <a:t>Apstrādes rūpniecības produkcijas izlaides dinamika (% pret 2000.gadu)</a:t>
            </a:r>
          </a:p>
        </c:rich>
      </c:tx>
      <c:layout>
        <c:manualLayout>
          <c:xMode val="edge"/>
          <c:yMode val="edge"/>
          <c:x val="0.28236033347613915"/>
          <c:y val="1.077444433369879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rūpniecība!$B$109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rūpniecība!$A$110:$A$133</c:f>
              <c:strCache>
                <c:ptCount val="9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rūpniecība!$B$110:$B$133</c:f>
              <c:numCache>
                <c:formatCode>#\ ##0_ ;[Red]\-#\ ##0\ </c:formatCode>
                <c:ptCount val="9"/>
                <c:pt idx="0">
                  <c:v>116.35599999999999</c:v>
                </c:pt>
                <c:pt idx="1">
                  <c:v>211.91</c:v>
                </c:pt>
                <c:pt idx="2" formatCode="0">
                  <c:v>262.00900000000001</c:v>
                </c:pt>
                <c:pt idx="3" formatCode="General">
                  <c:v>336</c:v>
                </c:pt>
                <c:pt idx="4" formatCode="0">
                  <c:v>435.9</c:v>
                </c:pt>
                <c:pt idx="5" formatCode="0">
                  <c:v>528.1</c:v>
                </c:pt>
                <c:pt idx="6" formatCode="General">
                  <c:v>627</c:v>
                </c:pt>
                <c:pt idx="7" formatCode="0">
                  <c:v>606.5</c:v>
                </c:pt>
                <c:pt idx="8" formatCode="General">
                  <c:v>583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1D0-48D3-B119-9207868BA6E7}"/>
            </c:ext>
          </c:extLst>
        </c:ser>
        <c:ser>
          <c:idx val="1"/>
          <c:order val="1"/>
          <c:tx>
            <c:strRef>
              <c:f>rūpniecība!$C$109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rūpniecība!$A$110:$A$133</c:f>
              <c:strCache>
                <c:ptCount val="9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rūpniecība!$C$110:$C$133</c:f>
              <c:numCache>
                <c:formatCode>#\ ##0_ ;[Red]\-#\ ##0\ </c:formatCode>
                <c:ptCount val="9"/>
                <c:pt idx="0">
                  <c:v>116.48</c:v>
                </c:pt>
                <c:pt idx="1">
                  <c:v>204.65</c:v>
                </c:pt>
                <c:pt idx="2" formatCode="0">
                  <c:v>228.07499999999999</c:v>
                </c:pt>
                <c:pt idx="3" formatCode="General">
                  <c:v>275</c:v>
                </c:pt>
                <c:pt idx="4" formatCode="0">
                  <c:v>325.8</c:v>
                </c:pt>
                <c:pt idx="5" formatCode="0">
                  <c:v>382</c:v>
                </c:pt>
                <c:pt idx="6" formatCode="General">
                  <c:v>429</c:v>
                </c:pt>
                <c:pt idx="7" formatCode="0">
                  <c:v>424.1</c:v>
                </c:pt>
                <c:pt idx="8" formatCode="General">
                  <c:v>403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1D0-48D3-B119-9207868BA6E7}"/>
            </c:ext>
          </c:extLst>
        </c:ser>
        <c:ser>
          <c:idx val="2"/>
          <c:order val="2"/>
          <c:tx>
            <c:strRef>
              <c:f>rūpniecība!$D$109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rūpniecība!$A$110:$A$133</c:f>
              <c:strCache>
                <c:ptCount val="9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rūpniecība!$D$110:$D$133</c:f>
              <c:numCache>
                <c:formatCode>#\ ##0_ ;[Red]\-#\ ##0\ </c:formatCode>
                <c:ptCount val="9"/>
                <c:pt idx="0">
                  <c:v>122.11</c:v>
                </c:pt>
                <c:pt idx="1">
                  <c:v>248.06</c:v>
                </c:pt>
                <c:pt idx="2" formatCode="0">
                  <c:v>238.321</c:v>
                </c:pt>
                <c:pt idx="3" formatCode="0">
                  <c:v>293.39999999999998</c:v>
                </c:pt>
                <c:pt idx="4" formatCode="0">
                  <c:v>416.2</c:v>
                </c:pt>
                <c:pt idx="5" formatCode="0">
                  <c:v>451.6</c:v>
                </c:pt>
                <c:pt idx="6" formatCode="General">
                  <c:v>574</c:v>
                </c:pt>
                <c:pt idx="7" formatCode="0">
                  <c:v>635</c:v>
                </c:pt>
                <c:pt idx="8" formatCode="General">
                  <c:v>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1D0-48D3-B119-9207868BA6E7}"/>
            </c:ext>
          </c:extLst>
        </c:ser>
        <c:ser>
          <c:idx val="3"/>
          <c:order val="3"/>
          <c:tx>
            <c:strRef>
              <c:f>rūpniecība!$E$109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rūpniecība!$A$110:$A$133</c:f>
              <c:strCache>
                <c:ptCount val="9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rūpniecība!$E$110:$E$133</c:f>
              <c:numCache>
                <c:formatCode>#\ ##0_ ;[Red]\-#\ ##0\ </c:formatCode>
                <c:ptCount val="9"/>
                <c:pt idx="0">
                  <c:v>97.23</c:v>
                </c:pt>
                <c:pt idx="1">
                  <c:v>146.93</c:v>
                </c:pt>
                <c:pt idx="2" formatCode="0">
                  <c:v>130.809</c:v>
                </c:pt>
                <c:pt idx="3" formatCode="General">
                  <c:v>230</c:v>
                </c:pt>
                <c:pt idx="4" formatCode="0">
                  <c:v>387.8</c:v>
                </c:pt>
                <c:pt idx="5" formatCode="0">
                  <c:v>462.6</c:v>
                </c:pt>
                <c:pt idx="6" formatCode="General">
                  <c:v>568</c:v>
                </c:pt>
                <c:pt idx="7" formatCode="0">
                  <c:v>565.1</c:v>
                </c:pt>
                <c:pt idx="8" formatCode="General">
                  <c:v>490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1D0-48D3-B119-9207868BA6E7}"/>
            </c:ext>
          </c:extLst>
        </c:ser>
        <c:ser>
          <c:idx val="4"/>
          <c:order val="4"/>
          <c:tx>
            <c:strRef>
              <c:f>rūpniecība!$F$109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rūpniecība!$A$110:$A$133</c:f>
              <c:strCache>
                <c:ptCount val="9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rūpniecība!$F$110:$F$133</c:f>
              <c:numCache>
                <c:formatCode>#\ ##0_ ;[Red]\-#\ ##0\ </c:formatCode>
                <c:ptCount val="9"/>
                <c:pt idx="0">
                  <c:v>99.22</c:v>
                </c:pt>
                <c:pt idx="1">
                  <c:v>72.17</c:v>
                </c:pt>
                <c:pt idx="2" formatCode="0">
                  <c:v>55.987000000000002</c:v>
                </c:pt>
                <c:pt idx="7" formatCode="0">
                  <c:v>75.3</c:v>
                </c:pt>
                <c:pt idx="8" formatCode="General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1D0-48D3-B119-9207868BA6E7}"/>
            </c:ext>
          </c:extLst>
        </c:ser>
        <c:ser>
          <c:idx val="5"/>
          <c:order val="5"/>
          <c:tx>
            <c:strRef>
              <c:f>rūpniecība!$G$109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rūpniecība!$A$110:$A$133</c:f>
              <c:strCache>
                <c:ptCount val="9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rūpniecība!$G$110:$G$133</c:f>
              <c:numCache>
                <c:formatCode>#\ ##0_ ;[Red]\-#\ ##0\ </c:formatCode>
                <c:ptCount val="9"/>
                <c:pt idx="0">
                  <c:v>110.49299999999999</c:v>
                </c:pt>
                <c:pt idx="1">
                  <c:v>232.154</c:v>
                </c:pt>
                <c:pt idx="2">
                  <c:v>297.22199999999998</c:v>
                </c:pt>
                <c:pt idx="3" formatCode="General">
                  <c:v>167</c:v>
                </c:pt>
                <c:pt idx="4" formatCode="0">
                  <c:v>221.1</c:v>
                </c:pt>
                <c:pt idx="5" formatCode="0">
                  <c:v>268.8</c:v>
                </c:pt>
                <c:pt idx="6" formatCode="General">
                  <c:v>334</c:v>
                </c:pt>
                <c:pt idx="7" formatCode="0">
                  <c:v>330.5</c:v>
                </c:pt>
                <c:pt idx="8" formatCode="General">
                  <c:v>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1D0-48D3-B119-9207868BA6E7}"/>
            </c:ext>
          </c:extLst>
        </c:ser>
        <c:ser>
          <c:idx val="6"/>
          <c:order val="6"/>
          <c:tx>
            <c:strRef>
              <c:f>rūpniecība!$H$109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rūpniecība!$A$110:$A$133</c:f>
              <c:strCache>
                <c:ptCount val="9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rūpniecība!$H$110:$H$133</c:f>
              <c:numCache>
                <c:formatCode>#\ ##0_ ;[Red]\-#\ ##0\ </c:formatCode>
                <c:ptCount val="9"/>
                <c:pt idx="0">
                  <c:v>112.371</c:v>
                </c:pt>
                <c:pt idx="1">
                  <c:v>222.47800000000001</c:v>
                </c:pt>
                <c:pt idx="2">
                  <c:v>177.376</c:v>
                </c:pt>
                <c:pt idx="3" formatCode="0">
                  <c:v>266.60000000000002</c:v>
                </c:pt>
                <c:pt idx="4" formatCode="0">
                  <c:v>432.7</c:v>
                </c:pt>
                <c:pt idx="5" formatCode="0">
                  <c:v>531.9</c:v>
                </c:pt>
                <c:pt idx="6" formatCode="General">
                  <c:v>753</c:v>
                </c:pt>
                <c:pt idx="7" formatCode="0">
                  <c:v>567.79999999999995</c:v>
                </c:pt>
                <c:pt idx="8" formatCode="General">
                  <c:v>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1D0-48D3-B119-9207868BA6E7}"/>
            </c:ext>
          </c:extLst>
        </c:ser>
        <c:ser>
          <c:idx val="7"/>
          <c:order val="7"/>
          <c:tx>
            <c:strRef>
              <c:f>rūpniecība!$I$109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rūpniecība!$A$110:$A$133</c:f>
              <c:strCache>
                <c:ptCount val="9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rūpniecība!$I$110:$I$133</c:f>
              <c:numCache>
                <c:formatCode>#\ ##0_ ;[Red]\-#\ ##0\ </c:formatCode>
                <c:ptCount val="9"/>
                <c:pt idx="0">
                  <c:v>80.146000000000001</c:v>
                </c:pt>
                <c:pt idx="1">
                  <c:v>223.148</c:v>
                </c:pt>
                <c:pt idx="2">
                  <c:v>1169.549</c:v>
                </c:pt>
                <c:pt idx="3" formatCode="0">
                  <c:v>2009.7</c:v>
                </c:pt>
                <c:pt idx="4" formatCode="0">
                  <c:v>3436.5</c:v>
                </c:pt>
                <c:pt idx="5" formatCode="0">
                  <c:v>5089.2</c:v>
                </c:pt>
                <c:pt idx="6" formatCode="General">
                  <c:v>5690</c:v>
                </c:pt>
                <c:pt idx="7" formatCode="0">
                  <c:v>4963.3999999999996</c:v>
                </c:pt>
                <c:pt idx="8" formatCode="General">
                  <c:v>4323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11D0-48D3-B119-9207868BA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72896"/>
        <c:axId val="1198366368"/>
      </c:lineChart>
      <c:catAx>
        <c:axId val="1198372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66368"/>
        <c:scaling>
          <c:orientation val="minMax"/>
          <c:max val="8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1198372896"/>
        <c:crosses val="autoZero"/>
        <c:crossBetween val="between"/>
        <c:majorUnit val="8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ysClr val="windowText" lastClr="000000"/>
                </a:solidFill>
              </a:rPr>
              <a:t>Apstrādes rūpniecības produkcijas izlaide (EUR uz 1 iedzīvotāju)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2233825362477"/>
          <c:y val="9.3944977207313707E-2"/>
          <c:w val="0.86295243582357084"/>
          <c:h val="0.49777037623890441"/>
        </c:manualLayout>
      </c:layout>
      <c:lineChart>
        <c:grouping val="standard"/>
        <c:varyColors val="0"/>
        <c:ser>
          <c:idx val="0"/>
          <c:order val="0"/>
          <c:tx>
            <c:strRef>
              <c:f>rūpniecība!$B$151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rūpniecība!$A$152:$A$176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rūpniecība!$B$152:$B$176</c:f>
              <c:numCache>
                <c:formatCode>#,##0</c:formatCode>
                <c:ptCount val="9"/>
                <c:pt idx="0">
                  <c:v>747.00770058223918</c:v>
                </c:pt>
                <c:pt idx="1">
                  <c:v>1680</c:v>
                </c:pt>
                <c:pt idx="2">
                  <c:v>2230</c:v>
                </c:pt>
                <c:pt idx="3">
                  <c:v>3013.4037462473789</c:v>
                </c:pt>
                <c:pt idx="4">
                  <c:v>4065.9500227918211</c:v>
                </c:pt>
                <c:pt idx="5">
                  <c:v>4972</c:v>
                </c:pt>
                <c:pt idx="6" formatCode="0">
                  <c:v>5852.4932310767435</c:v>
                </c:pt>
                <c:pt idx="7" formatCode="0">
                  <c:v>5711.736102075597</c:v>
                </c:pt>
                <c:pt idx="8" formatCode="0">
                  <c:v>5542.4083380543825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CD4-4EB2-965F-E8483E933DF0}"/>
            </c:ext>
          </c:extLst>
        </c:ser>
        <c:ser>
          <c:idx val="1"/>
          <c:order val="1"/>
          <c:tx>
            <c:strRef>
              <c:f>rūpniecība!$C$151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rūpniecība!$A$152:$A$176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rūpniecība!$C$152:$C$176</c:f>
              <c:numCache>
                <c:formatCode>#,##0</c:formatCode>
                <c:ptCount val="9"/>
                <c:pt idx="0">
                  <c:v>1104.1485250510812</c:v>
                </c:pt>
                <c:pt idx="1">
                  <c:v>2427</c:v>
                </c:pt>
                <c:pt idx="2">
                  <c:v>2899</c:v>
                </c:pt>
                <c:pt idx="3">
                  <c:v>3610.4015950407138</c:v>
                </c:pt>
                <c:pt idx="4">
                  <c:v>4442.970105008314</c:v>
                </c:pt>
                <c:pt idx="5">
                  <c:v>5285</c:v>
                </c:pt>
                <c:pt idx="6" formatCode="0">
                  <c:v>5920.7828438363567</c:v>
                </c:pt>
                <c:pt idx="7" formatCode="0">
                  <c:v>5935.6956529000154</c:v>
                </c:pt>
                <c:pt idx="8" formatCode="0">
                  <c:v>5708.4805755201205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CD4-4EB2-965F-E8483E933DF0}"/>
            </c:ext>
          </c:extLst>
        </c:ser>
        <c:ser>
          <c:idx val="2"/>
          <c:order val="2"/>
          <c:tx>
            <c:strRef>
              <c:f>rūpniecība!$D$151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rūpniecība!$A$152:$A$176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rūpniecība!$D$152:$D$176</c:f>
              <c:numCache>
                <c:formatCode>#,##0</c:formatCode>
                <c:ptCount val="9"/>
                <c:pt idx="0">
                  <c:v>435.39877405364797</c:v>
                </c:pt>
                <c:pt idx="1">
                  <c:v>1209</c:v>
                </c:pt>
                <c:pt idx="2">
                  <c:v>1309</c:v>
                </c:pt>
                <c:pt idx="3">
                  <c:v>1767.2032924512816</c:v>
                </c:pt>
                <c:pt idx="4">
                  <c:v>2651.4157788333932</c:v>
                </c:pt>
                <c:pt idx="5">
                  <c:v>2932</c:v>
                </c:pt>
                <c:pt idx="6" formatCode="0">
                  <c:v>3692.4174531253911</c:v>
                </c:pt>
                <c:pt idx="7" formatCode="0">
                  <c:v>4132.4675982820436</c:v>
                </c:pt>
                <c:pt idx="8" formatCode="0">
                  <c:v>3670.6472757066776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CD4-4EB2-965F-E8483E933DF0}"/>
            </c:ext>
          </c:extLst>
        </c:ser>
        <c:ser>
          <c:idx val="3"/>
          <c:order val="3"/>
          <c:tx>
            <c:strRef>
              <c:f>rūpniecība!$E$151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rūpniecība!$A$152:$A$176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rūpniecība!$E$152:$E$176</c:f>
              <c:numCache>
                <c:formatCode>#,##0</c:formatCode>
                <c:ptCount val="9"/>
                <c:pt idx="0">
                  <c:v>452.47323578124201</c:v>
                </c:pt>
                <c:pt idx="1">
                  <c:v>1294</c:v>
                </c:pt>
                <c:pt idx="2">
                  <c:v>1224</c:v>
                </c:pt>
                <c:pt idx="3">
                  <c:v>2250.8493294767291</c:v>
                </c:pt>
                <c:pt idx="4">
                  <c:v>3911.6831718953304</c:v>
                </c:pt>
                <c:pt idx="5">
                  <c:v>4721</c:v>
                </c:pt>
                <c:pt idx="6" formatCode="0">
                  <c:v>5714.0362901771223</c:v>
                </c:pt>
                <c:pt idx="7" formatCode="0">
                  <c:v>5713.061512824228</c:v>
                </c:pt>
                <c:pt idx="8" formatCode="0">
                  <c:v>4992.3459987960814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CD4-4EB2-965F-E8483E933DF0}"/>
            </c:ext>
          </c:extLst>
        </c:ser>
        <c:ser>
          <c:idx val="8"/>
          <c:order val="4"/>
          <c:tx>
            <c:strRef>
              <c:f>rūpniecība!$F$151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rūpniecība!$A$152:$A$176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rūpniecība!$F$152:$F$176</c:f>
              <c:numCache>
                <c:formatCode>#,##0</c:formatCode>
                <c:ptCount val="9"/>
                <c:pt idx="3">
                  <c:v>1640.1144366197184</c:v>
                </c:pt>
                <c:pt idx="4">
                  <c:v>2223.1356049748024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CD4-4EB2-965F-E8483E933DF0}"/>
            </c:ext>
          </c:extLst>
        </c:ser>
        <c:ser>
          <c:idx val="4"/>
          <c:order val="5"/>
          <c:tx>
            <c:strRef>
              <c:f>rūpniecība!$G$151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rūpniecība!$A$152:$A$176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rūpniecība!$G$152:$G$176</c:f>
              <c:numCache>
                <c:formatCode>#,##0</c:formatCode>
                <c:ptCount val="9"/>
                <c:pt idx="0">
                  <c:v>443.93600491744496</c:v>
                </c:pt>
                <c:pt idx="1">
                  <c:v>337</c:v>
                </c:pt>
                <c:pt idx="2">
                  <c:v>272</c:v>
                </c:pt>
                <c:pt idx="5">
                  <c:v>301</c:v>
                </c:pt>
                <c:pt idx="6" formatCode="0">
                  <c:v>331.22453822726732</c:v>
                </c:pt>
                <c:pt idx="7" formatCode="0">
                  <c:v>363.88699198095719</c:v>
                </c:pt>
                <c:pt idx="8" formatCode="0">
                  <c:v>345.07923670883639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CD4-4EB2-965F-E8483E933DF0}"/>
            </c:ext>
          </c:extLst>
        </c:ser>
        <c:ser>
          <c:idx val="5"/>
          <c:order val="6"/>
          <c:tx>
            <c:strRef>
              <c:f>rūpniecība!$H$151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rūpniecība!$A$152:$A$176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rūpniecība!$H$152:$H$176</c:f>
              <c:numCache>
                <c:formatCode>#,##0</c:formatCode>
                <c:ptCount val="9"/>
                <c:pt idx="0">
                  <c:v>1715.9834036232007</c:v>
                </c:pt>
                <c:pt idx="1">
                  <c:v>4277</c:v>
                </c:pt>
                <c:pt idx="2">
                  <c:v>5912</c:v>
                </c:pt>
                <c:pt idx="3">
                  <c:v>3624.1665957386444</c:v>
                </c:pt>
                <c:pt idx="4">
                  <c:v>4977.5116238008359</c:v>
                </c:pt>
                <c:pt idx="5">
                  <c:v>6105</c:v>
                </c:pt>
                <c:pt idx="6" formatCode="0">
                  <c:v>7462.4503330606522</c:v>
                </c:pt>
                <c:pt idx="7" formatCode="0">
                  <c:v>7425.5563226157074</c:v>
                </c:pt>
                <c:pt idx="8" formatCode="0">
                  <c:v>7101.2908394907863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CD4-4EB2-965F-E8483E933DF0}"/>
            </c:ext>
          </c:extLst>
        </c:ser>
        <c:ser>
          <c:idx val="6"/>
          <c:order val="7"/>
          <c:tx>
            <c:strRef>
              <c:f>rūpniecība!$I$151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rūpniecība!$A$152:$A$176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rūpniecība!$I$152:$I$176</c:f>
              <c:numCache>
                <c:formatCode>#,##0</c:formatCode>
                <c:ptCount val="9"/>
                <c:pt idx="0">
                  <c:v>614.68062219338537</c:v>
                </c:pt>
                <c:pt idx="1">
                  <c:v>1469</c:v>
                </c:pt>
                <c:pt idx="2">
                  <c:v>1224</c:v>
                </c:pt>
                <c:pt idx="3">
                  <c:v>1872.5343538006609</c:v>
                </c:pt>
                <c:pt idx="4">
                  <c:v>3829.6918663139463</c:v>
                </c:pt>
                <c:pt idx="5">
                  <c:v>4772</c:v>
                </c:pt>
                <c:pt idx="6" formatCode="0">
                  <c:v>6658.5315909006295</c:v>
                </c:pt>
                <c:pt idx="7" formatCode="0">
                  <c:v>5051.5599835199819</c:v>
                </c:pt>
                <c:pt idx="8" formatCode="0">
                  <c:v>5075.2771996215706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CD4-4EB2-965F-E8483E933DF0}"/>
            </c:ext>
          </c:extLst>
        </c:ser>
        <c:ser>
          <c:idx val="9"/>
          <c:order val="8"/>
          <c:tx>
            <c:strRef>
              <c:f>rūpniecība!$J$151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rūpniecība!$A$152:$A$176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rūpniecība!$J$152:$J$176</c:f>
              <c:numCache>
                <c:formatCode>#,##0</c:formatCode>
                <c:ptCount val="9"/>
                <c:pt idx="3">
                  <c:v>6962.3719328454581</c:v>
                </c:pt>
                <c:pt idx="4">
                  <c:v>6673.9454094292805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9CD4-4EB2-965F-E8483E933DF0}"/>
            </c:ext>
          </c:extLst>
        </c:ser>
        <c:ser>
          <c:idx val="7"/>
          <c:order val="9"/>
          <c:tx>
            <c:strRef>
              <c:f>rūpniecība!$K$151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rūpniecība!$A$152:$A$176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rūpniecība!$K$152:$K$176</c:f>
              <c:numCache>
                <c:formatCode>#,##0</c:formatCode>
                <c:ptCount val="9"/>
                <c:pt idx="0">
                  <c:v>159.36164279087768</c:v>
                </c:pt>
                <c:pt idx="1">
                  <c:v>368</c:v>
                </c:pt>
                <c:pt idx="2">
                  <c:v>2101</c:v>
                </c:pt>
                <c:pt idx="3">
                  <c:v>1872.5343538006609</c:v>
                </c:pt>
                <c:pt idx="4">
                  <c:v>7183.4352151504254</c:v>
                </c:pt>
                <c:pt idx="5">
                  <c:v>10773</c:v>
                </c:pt>
                <c:pt idx="6" formatCode="0">
                  <c:v>11842.090033113571</c:v>
                </c:pt>
                <c:pt idx="7" formatCode="0">
                  <c:v>10415.534097403965</c:v>
                </c:pt>
                <c:pt idx="8" formatCode="0">
                  <c:v>9217.6594639200466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9CD4-4EB2-965F-E8483E933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50592"/>
        <c:axId val="1198369088"/>
      </c:lineChart>
      <c:catAx>
        <c:axId val="11983505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6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69088"/>
        <c:scaling>
          <c:orientation val="minMax"/>
          <c:max val="1300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98350592"/>
        <c:crosses val="autoZero"/>
        <c:crossBetween val="between"/>
        <c:majorUnit val="129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ysClr val="windowText" lastClr="000000"/>
                </a:solidFill>
              </a:rPr>
              <a:t>Pašražoto preču realizācija vietējā tirgū (EUR uz 1 iedzīvotāju)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0958502990087"/>
          <c:y val="5.9086917019987889E-2"/>
          <c:w val="0.84905584583812421"/>
          <c:h val="0.46564872939269686"/>
        </c:manualLayout>
      </c:layout>
      <c:lineChart>
        <c:grouping val="standard"/>
        <c:varyColors val="0"/>
        <c:ser>
          <c:idx val="0"/>
          <c:order val="0"/>
          <c:tx>
            <c:strRef>
              <c:f>rūpniecība!$B$200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rūpniecība!$A$201:$A$225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rūpniecība!$B$201:$B$225</c:f>
              <c:numCache>
                <c:formatCode>#,##0</c:formatCode>
                <c:ptCount val="9"/>
                <c:pt idx="0">
                  <c:v>356.05090466189722</c:v>
                </c:pt>
                <c:pt idx="1">
                  <c:v>796</c:v>
                </c:pt>
                <c:pt idx="2">
                  <c:v>902</c:v>
                </c:pt>
                <c:pt idx="3">
                  <c:v>1119.461</c:v>
                </c:pt>
                <c:pt idx="4">
                  <c:v>1408.3534062812464</c:v>
                </c:pt>
                <c:pt idx="5">
                  <c:v>1653</c:v>
                </c:pt>
                <c:pt idx="6" formatCode="0">
                  <c:v>1997.1952870958928</c:v>
                </c:pt>
                <c:pt idx="7" formatCode="0">
                  <c:v>2000.1252428923979</c:v>
                </c:pt>
                <c:pt idx="8" formatCode="0">
                  <c:v>1996.9551927588086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D21-4D7E-9E80-AF4B1F302AF8}"/>
            </c:ext>
          </c:extLst>
        </c:ser>
        <c:ser>
          <c:idx val="1"/>
          <c:order val="1"/>
          <c:tx>
            <c:strRef>
              <c:f>rūpniecība!$C$200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rūpniecība!$A$201:$A$225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rūpniecība!$C$201:$C$225</c:f>
              <c:numCache>
                <c:formatCode>#,##0</c:formatCode>
                <c:ptCount val="9"/>
                <c:pt idx="0">
                  <c:v>552.18254307032976</c:v>
                </c:pt>
                <c:pt idx="1">
                  <c:v>1183</c:v>
                </c:pt>
                <c:pt idx="2">
                  <c:v>1266</c:v>
                </c:pt>
                <c:pt idx="3">
                  <c:v>1292.8</c:v>
                </c:pt>
                <c:pt idx="4">
                  <c:v>1391.5898750117958</c:v>
                </c:pt>
                <c:pt idx="5">
                  <c:v>1504</c:v>
                </c:pt>
                <c:pt idx="6" formatCode="0">
                  <c:v>1815.944492129732</c:v>
                </c:pt>
                <c:pt idx="7" formatCode="0">
                  <c:v>1938.8495131849229</c:v>
                </c:pt>
                <c:pt idx="8" formatCode="0">
                  <c:v>1894.155591824046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D21-4D7E-9E80-AF4B1F302AF8}"/>
            </c:ext>
          </c:extLst>
        </c:ser>
        <c:ser>
          <c:idx val="2"/>
          <c:order val="2"/>
          <c:tx>
            <c:strRef>
              <c:f>rūpniecība!$D$200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rūpniecība!$A$201:$A$225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rūpniecība!$D$201:$D$225</c:f>
              <c:numCache>
                <c:formatCode>#,##0</c:formatCode>
                <c:ptCount val="9"/>
                <c:pt idx="0">
                  <c:v>190.88380259645646</c:v>
                </c:pt>
                <c:pt idx="1">
                  <c:v>505</c:v>
                </c:pt>
                <c:pt idx="2">
                  <c:v>465</c:v>
                </c:pt>
                <c:pt idx="3">
                  <c:v>731.68399999999997</c:v>
                </c:pt>
                <c:pt idx="4">
                  <c:v>871.94175152244293</c:v>
                </c:pt>
                <c:pt idx="5">
                  <c:v>892</c:v>
                </c:pt>
                <c:pt idx="6" formatCode="0">
                  <c:v>1051.7440020527199</c:v>
                </c:pt>
                <c:pt idx="7" formatCode="0">
                  <c:v>1384.2187480204229</c:v>
                </c:pt>
                <c:pt idx="8" formatCode="0">
                  <c:v>1308.8693158541582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D21-4D7E-9E80-AF4B1F302AF8}"/>
            </c:ext>
          </c:extLst>
        </c:ser>
        <c:ser>
          <c:idx val="3"/>
          <c:order val="3"/>
          <c:tx>
            <c:strRef>
              <c:f>rūpniecība!$E$200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rūpniecība!$A$201:$A$225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rūpniecība!$E$201:$E$225</c:f>
              <c:numCache>
                <c:formatCode>#,##0</c:formatCode>
                <c:ptCount val="9"/>
                <c:pt idx="0">
                  <c:v>550.52418597503708</c:v>
                </c:pt>
                <c:pt idx="1">
                  <c:v>765</c:v>
                </c:pt>
                <c:pt idx="2">
                  <c:v>484</c:v>
                </c:pt>
                <c:pt idx="3">
                  <c:v>743.22400000000005</c:v>
                </c:pt>
                <c:pt idx="4">
                  <c:v>1493.3200213242735</c:v>
                </c:pt>
                <c:pt idx="5">
                  <c:v>1685</c:v>
                </c:pt>
                <c:pt idx="6" formatCode="0">
                  <c:v>1710.6693752029146</c:v>
                </c:pt>
                <c:pt idx="7" formatCode="0">
                  <c:v>1458.9269671062166</c:v>
                </c:pt>
                <c:pt idx="8" formatCode="0">
                  <c:v>1544.4409988872876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D21-4D7E-9E80-AF4B1F302AF8}"/>
            </c:ext>
          </c:extLst>
        </c:ser>
        <c:ser>
          <c:idx val="8"/>
          <c:order val="4"/>
          <c:tx>
            <c:strRef>
              <c:f>rūpniecība!$F$200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rūpniecība!$A$201:$A$225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rūpniecība!$F$201:$F$225</c:f>
              <c:numCache>
                <c:formatCode>#,##0</c:formatCode>
                <c:ptCount val="9"/>
                <c:pt idx="3">
                  <c:v>1159.011</c:v>
                </c:pt>
                <c:pt idx="4">
                  <c:v>1907.3281427712795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D21-4D7E-9E80-AF4B1F302AF8}"/>
            </c:ext>
          </c:extLst>
        </c:ser>
        <c:ser>
          <c:idx val="4"/>
          <c:order val="5"/>
          <c:tx>
            <c:strRef>
              <c:f>rūpniecība!$G$200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rūpniecība!$A$201:$A$225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rūpniecība!$G$201:$G$225</c:f>
              <c:numCache>
                <c:formatCode>#,##0</c:formatCode>
                <c:ptCount val="9"/>
                <c:pt idx="0">
                  <c:v>131.43949095338104</c:v>
                </c:pt>
                <c:pt idx="1">
                  <c:v>223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D21-4D7E-9E80-AF4B1F302AF8}"/>
            </c:ext>
          </c:extLst>
        </c:ser>
        <c:ser>
          <c:idx val="5"/>
          <c:order val="6"/>
          <c:tx>
            <c:strRef>
              <c:f>rūpniecība!$H$200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rūpniecība!$A$201:$A$225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rūpniecība!$H$201:$H$225</c:f>
              <c:numCache>
                <c:formatCode>#,##0</c:formatCode>
                <c:ptCount val="9"/>
                <c:pt idx="0">
                  <c:v>316.26385165707654</c:v>
                </c:pt>
                <c:pt idx="1">
                  <c:v>841</c:v>
                </c:pt>
                <c:pt idx="2">
                  <c:v>640</c:v>
                </c:pt>
                <c:pt idx="3">
                  <c:v>761.51300000000003</c:v>
                </c:pt>
                <c:pt idx="4">
                  <c:v>1216.9400697428048</c:v>
                </c:pt>
                <c:pt idx="5">
                  <c:v>1407</c:v>
                </c:pt>
                <c:pt idx="6" formatCode="0">
                  <c:v>1539.9332695454013</c:v>
                </c:pt>
                <c:pt idx="7" formatCode="0">
                  <c:v>1637.4462772285954</c:v>
                </c:pt>
                <c:pt idx="8" formatCode="0">
                  <c:v>1693.0072108964657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D21-4D7E-9E80-AF4B1F302AF8}"/>
            </c:ext>
          </c:extLst>
        </c:ser>
        <c:ser>
          <c:idx val="6"/>
          <c:order val="7"/>
          <c:tx>
            <c:strRef>
              <c:f>rūpniecība!$I$200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rūpniecība!$A$201:$A$225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rūpniecība!$I$201:$I$225</c:f>
              <c:numCache>
                <c:formatCode>#,##0</c:formatCode>
                <c:ptCount val="9"/>
                <c:pt idx="0">
                  <c:v>266.57375313743233</c:v>
                </c:pt>
                <c:pt idx="1">
                  <c:v>745</c:v>
                </c:pt>
                <c:pt idx="6" formatCode="0">
                  <c:v>0</c:v>
                </c:pt>
                <c:pt idx="7" formatCode="0">
                  <c:v>2919.7696542941685</c:v>
                </c:pt>
                <c:pt idx="8" formatCode="0">
                  <c:v>2886.6263008514666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D21-4D7E-9E80-AF4B1F302AF8}"/>
            </c:ext>
          </c:extLst>
        </c:ser>
        <c:ser>
          <c:idx val="9"/>
          <c:order val="8"/>
          <c:tx>
            <c:strRef>
              <c:f>rūpniecība!$J$200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</c:spPr>
          </c:marker>
          <c:cat>
            <c:strRef>
              <c:f>rūpniecība!$A$201:$A$225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rūpniecība!$J$201:$J$225</c:f>
              <c:numCache>
                <c:formatCode>#,##0</c:formatCode>
                <c:ptCount val="9"/>
                <c:pt idx="4">
                  <c:v>1133.2079491532804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AD21-4D7E-9E80-AF4B1F302AF8}"/>
            </c:ext>
          </c:extLst>
        </c:ser>
        <c:ser>
          <c:idx val="7"/>
          <c:order val="9"/>
          <c:tx>
            <c:strRef>
              <c:f>rūpniecība!$K$200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rūpniecība!$A$201:$A$225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rūpniecība!$K$201:$K$225</c:f>
              <c:numCache>
                <c:formatCode>#,##0</c:formatCode>
                <c:ptCount val="9"/>
                <c:pt idx="0">
                  <c:v>76.007820103471232</c:v>
                </c:pt>
                <c:pt idx="1">
                  <c:v>193</c:v>
                </c:pt>
                <c:pt idx="2">
                  <c:v>508</c:v>
                </c:pt>
                <c:pt idx="3">
                  <c:v>522.64099999999996</c:v>
                </c:pt>
                <c:pt idx="4">
                  <c:v>1559.1763184705742</c:v>
                </c:pt>
                <c:pt idx="5">
                  <c:v>1780</c:v>
                </c:pt>
                <c:pt idx="6" formatCode="0">
                  <c:v>1226.8518331792011</c:v>
                </c:pt>
                <c:pt idx="7" formatCode="0">
                  <c:v>1207.27969798153</c:v>
                </c:pt>
                <c:pt idx="8" formatCode="0">
                  <c:v>1364.2531862220728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D21-4D7E-9E80-AF4B1F30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73440"/>
        <c:axId val="1198357120"/>
      </c:lineChart>
      <c:catAx>
        <c:axId val="11983734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57120"/>
        <c:scaling>
          <c:orientation val="minMax"/>
          <c:max val="2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98373440"/>
        <c:crosses val="autoZero"/>
        <c:crossBetween val="between"/>
        <c:majorUnit val="2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Pašražoto preču realizācija eksportam (EUR uz 1 iedzīvotāju)</a:t>
            </a:r>
          </a:p>
        </c:rich>
      </c:tx>
      <c:layout>
        <c:manualLayout>
          <c:xMode val="edge"/>
          <c:yMode val="edge"/>
          <c:x val="0.33038899549321038"/>
          <c:y val="2.07119234378685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2545392610237"/>
          <c:y val="0.10236505617803854"/>
          <c:w val="0.86985077845661452"/>
          <c:h val="0.4415687574988863"/>
        </c:manualLayout>
      </c:layout>
      <c:lineChart>
        <c:grouping val="standard"/>
        <c:varyColors val="0"/>
        <c:ser>
          <c:idx val="0"/>
          <c:order val="0"/>
          <c:tx>
            <c:strRef>
              <c:f>rūpniecība!$B$248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rūpniecība!$A$249:$A$273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rūpniecība!$B$249:$B$273</c:f>
              <c:numCache>
                <c:formatCode>#,##0</c:formatCode>
                <c:ptCount val="9"/>
                <c:pt idx="0">
                  <c:v>399.4354044655409</c:v>
                </c:pt>
                <c:pt idx="1">
                  <c:v>896.94</c:v>
                </c:pt>
                <c:pt idx="2">
                  <c:v>1318.33</c:v>
                </c:pt>
                <c:pt idx="3">
                  <c:v>1977.643</c:v>
                </c:pt>
                <c:pt idx="4">
                  <c:v>2741.8078795260785</c:v>
                </c:pt>
                <c:pt idx="5">
                  <c:v>3432</c:v>
                </c:pt>
                <c:pt idx="6">
                  <c:v>3970.260607218529</c:v>
                </c:pt>
                <c:pt idx="7">
                  <c:v>3864.5139272527936</c:v>
                </c:pt>
                <c:pt idx="8">
                  <c:v>3755.4784450911502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AC-4395-9199-CEA459F7D622}"/>
            </c:ext>
          </c:extLst>
        </c:ser>
        <c:ser>
          <c:idx val="1"/>
          <c:order val="1"/>
          <c:tx>
            <c:strRef>
              <c:f>rūpniecība!$C$248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rūpniecība!$A$249:$A$273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rūpniecība!$C$249:$C$273</c:f>
              <c:numCache>
                <c:formatCode>#,##0</c:formatCode>
                <c:ptCount val="9"/>
                <c:pt idx="0">
                  <c:v>555.15321483656896</c:v>
                </c:pt>
                <c:pt idx="1">
                  <c:v>1249.68</c:v>
                </c:pt>
                <c:pt idx="2">
                  <c:v>1590.91</c:v>
                </c:pt>
                <c:pt idx="3">
                  <c:v>2326.1309999999999</c:v>
                </c:pt>
                <c:pt idx="4">
                  <c:v>3451.653457594799</c:v>
                </c:pt>
                <c:pt idx="5">
                  <c:v>3805</c:v>
                </c:pt>
                <c:pt idx="6">
                  <c:v>4182.1983617194364</c:v>
                </c:pt>
                <c:pt idx="7">
                  <c:v>4222.1346381870108</c:v>
                </c:pt>
                <c:pt idx="8">
                  <c:v>4014.0593902162932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1AC-4395-9199-CEA459F7D622}"/>
            </c:ext>
          </c:extLst>
        </c:ser>
        <c:ser>
          <c:idx val="2"/>
          <c:order val="2"/>
          <c:tx>
            <c:strRef>
              <c:f>rūpniecība!$D$248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rūpniecība!$A$249:$A$273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rūpniecība!$D$249:$D$273</c:f>
              <c:numCache>
                <c:formatCode>#,##0</c:formatCode>
                <c:ptCount val="9"/>
                <c:pt idx="0">
                  <c:v>255.36280385427517</c:v>
                </c:pt>
                <c:pt idx="1">
                  <c:v>682.09</c:v>
                </c:pt>
                <c:pt idx="2">
                  <c:v>833.52</c:v>
                </c:pt>
                <c:pt idx="3">
                  <c:v>1065.625</c:v>
                </c:pt>
                <c:pt idx="4">
                  <c:v>1820.0178153720219</c:v>
                </c:pt>
                <c:pt idx="5">
                  <c:v>2119</c:v>
                </c:pt>
                <c:pt idx="6">
                  <c:v>2702.0723045535333</c:v>
                </c:pt>
                <c:pt idx="7">
                  <c:v>3004.8954149827064</c:v>
                </c:pt>
                <c:pt idx="8">
                  <c:v>2867.6963846784106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1AC-4395-9199-CEA459F7D622}"/>
            </c:ext>
          </c:extLst>
        </c:ser>
        <c:ser>
          <c:idx val="3"/>
          <c:order val="3"/>
          <c:tx>
            <c:strRef>
              <c:f>rūpniecība!$E$248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rūpniecība!$A$249:$A$273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rūpniecība!$E$249:$E$273</c:f>
              <c:numCache>
                <c:formatCode>#,##0</c:formatCode>
                <c:ptCount val="9"/>
                <c:pt idx="0">
                  <c:v>330.08676672301237</c:v>
                </c:pt>
                <c:pt idx="1">
                  <c:v>401.96</c:v>
                </c:pt>
                <c:pt idx="2">
                  <c:v>776.26</c:v>
                </c:pt>
                <c:pt idx="3">
                  <c:v>1516.9280000000001</c:v>
                </c:pt>
                <c:pt idx="4">
                  <c:v>2586.8393685846463</c:v>
                </c:pt>
                <c:pt idx="5">
                  <c:v>3218</c:v>
                </c:pt>
                <c:pt idx="6">
                  <c:v>4203.8557140795783</c:v>
                </c:pt>
                <c:pt idx="7">
                  <c:v>4529.7656136791766</c:v>
                </c:pt>
                <c:pt idx="8">
                  <c:v>3723.967092902355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1AC-4395-9199-CEA459F7D622}"/>
            </c:ext>
          </c:extLst>
        </c:ser>
        <c:ser>
          <c:idx val="8"/>
          <c:order val="4"/>
          <c:tx>
            <c:strRef>
              <c:f>rūpniecība!$F$248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rūpniecība!$A$249:$A$273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rūpniecība!$F$249:$F$269</c:f>
              <c:numCache>
                <c:formatCode>#,##0</c:formatCode>
                <c:ptCount val="5"/>
                <c:pt idx="3">
                  <c:v>666.17399999999998</c:v>
                </c:pt>
                <c:pt idx="4">
                  <c:v>869.16675759397094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1AC-4395-9199-CEA459F7D622}"/>
            </c:ext>
          </c:extLst>
        </c:ser>
        <c:ser>
          <c:idx val="4"/>
          <c:order val="5"/>
          <c:tx>
            <c:strRef>
              <c:f>rūpniecība!$G$248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rūpniecība!$A$249:$A$273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rūpniecība!$G$254:$G$260</c:f>
              <c:numCache>
                <c:formatCode>#,##0</c:formatCode>
                <c:ptCount val="2"/>
                <c:pt idx="0">
                  <c:v>111.73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1AC-4395-9199-CEA459F7D622}"/>
            </c:ext>
          </c:extLst>
        </c:ser>
        <c:ser>
          <c:idx val="5"/>
          <c:order val="6"/>
          <c:tx>
            <c:strRef>
              <c:f>rūpniecība!$H$248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rūpniecība!$A$249:$A$273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rūpniecība!$H$249:$H$273</c:f>
              <c:numCache>
                <c:formatCode>#,##0</c:formatCode>
                <c:ptCount val="9"/>
                <c:pt idx="0">
                  <c:v>1461.1415131387982</c:v>
                </c:pt>
                <c:pt idx="1">
                  <c:v>3429.87</c:v>
                </c:pt>
                <c:pt idx="2">
                  <c:v>4840.8999999999996</c:v>
                </c:pt>
                <c:pt idx="3">
                  <c:v>3229.55</c:v>
                </c:pt>
                <c:pt idx="4">
                  <c:v>3841.170106232712</c:v>
                </c:pt>
                <c:pt idx="5">
                  <c:v>4853</c:v>
                </c:pt>
                <c:pt idx="6">
                  <c:v>6000.8681211288995</c:v>
                </c:pt>
                <c:pt idx="7">
                  <c:v>5903.7352565326601</c:v>
                </c:pt>
                <c:pt idx="8">
                  <c:v>5663.629484554438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71AC-4395-9199-CEA459F7D622}"/>
            </c:ext>
          </c:extLst>
        </c:ser>
        <c:ser>
          <c:idx val="6"/>
          <c:order val="7"/>
          <c:tx>
            <c:strRef>
              <c:f>rūpniecība!$I$248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rūpniecība!$A$249:$A$273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rūpniecība!$I$249:$I$273</c:f>
              <c:numCache>
                <c:formatCode>#,##0</c:formatCode>
                <c:ptCount val="9"/>
                <c:pt idx="0">
                  <c:v>394.90426918458064</c:v>
                </c:pt>
                <c:pt idx="1">
                  <c:v>718.08</c:v>
                </c:pt>
                <c:pt idx="6">
                  <c:v>0</c:v>
                </c:pt>
                <c:pt idx="7">
                  <c:v>2123.3042436046294</c:v>
                </c:pt>
                <c:pt idx="8">
                  <c:v>2155.8145695364237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1AC-4395-9199-CEA459F7D622}"/>
            </c:ext>
          </c:extLst>
        </c:ser>
        <c:ser>
          <c:idx val="9"/>
          <c:order val="8"/>
          <c:tx>
            <c:strRef>
              <c:f>rūpniecība!$J$248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rūpniecība!$A$249:$A$273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rūpniecība!$J$249:$J$269</c:f>
              <c:numCache>
                <c:formatCode>#,##0</c:formatCode>
                <c:ptCount val="5"/>
                <c:pt idx="4">
                  <c:v>5575.2331287275256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71AC-4395-9199-CEA459F7D622}"/>
            </c:ext>
          </c:extLst>
        </c:ser>
        <c:ser>
          <c:idx val="7"/>
          <c:order val="9"/>
          <c:tx>
            <c:strRef>
              <c:f>rūpniecība!$K$248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rūpniecība!$A$249:$A$273</c:f>
              <c:strCach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rūpniecība!$K$249:$K$273</c:f>
              <c:numCache>
                <c:formatCode>#,##0</c:formatCode>
                <c:ptCount val="9"/>
                <c:pt idx="0">
                  <c:v>88.459513605500248</c:v>
                </c:pt>
                <c:pt idx="1">
                  <c:v>181.14</c:v>
                </c:pt>
                <c:pt idx="2">
                  <c:v>1818.38</c:v>
                </c:pt>
                <c:pt idx="3">
                  <c:v>3557.442</c:v>
                </c:pt>
                <c:pt idx="4">
                  <c:v>5748.1715929521761</c:v>
                </c:pt>
                <c:pt idx="5">
                  <c:v>8625</c:v>
                </c:pt>
                <c:pt idx="6">
                  <c:v>10406.190140508936</c:v>
                </c:pt>
                <c:pt idx="7">
                  <c:v>9328.5533796588752</c:v>
                </c:pt>
                <c:pt idx="8">
                  <c:v>8383.232983893151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71AC-4395-9199-CEA459F7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57664"/>
        <c:axId val="1198374528"/>
      </c:lineChart>
      <c:catAx>
        <c:axId val="11983576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7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74528"/>
        <c:scaling>
          <c:orientation val="minMax"/>
          <c:max val="110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98357664"/>
        <c:crosses val="autoZero"/>
        <c:crossBetween val="between"/>
        <c:majorUnit val="11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lv-LV" sz="1125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Apstrades rūpniecības produkcijas izlaide un pašražoto preču realizācija 2024. gadā </a:t>
            </a:r>
          </a:p>
          <a:p>
            <a:pPr>
              <a:defRPr sz="1025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lv-LV" sz="1125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(eiro uz 1  iedzīvotāju)</a:t>
            </a:r>
          </a:p>
        </c:rich>
      </c:tx>
      <c:layout>
        <c:manualLayout>
          <c:xMode val="edge"/>
          <c:yMode val="edge"/>
          <c:x val="0.30009691096305269"/>
          <c:y val="1.156075760800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97566829991182"/>
          <c:y val="0.13826578256665284"/>
          <c:w val="0.73066211653960755"/>
          <c:h val="0.5881322349157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rūpniecība!$A$42</c:f>
              <c:strCache>
                <c:ptCount val="1"/>
                <c:pt idx="0">
                  <c:v>Rūpniecības produkcijas izlaide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rūpniecība!$B$41:$J$41</c15:sqref>
                  </c15:fullRef>
                </c:ext>
              </c:extLst>
              <c:f>(rūpniecība!$B$41:$H$41,rūpniecība!$J$41)</c:f>
              <c:strCache>
                <c:ptCount val="8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Jūrmla</c:v>
                </c:pt>
                <c:pt idx="5">
                  <c:v>Liepāja</c:v>
                </c:pt>
                <c:pt idx="6">
                  <c:v>Rēzekne</c:v>
                </c:pt>
                <c:pt idx="7">
                  <c:v>Ventspils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rūpniecība!$B$42:$J$42</c15:sqref>
                  </c15:fullRef>
                </c:ext>
              </c:extLst>
              <c:f>(rūpniecība!$B$42:$H$42,rūpniecība!$J$42)</c:f>
              <c:numCache>
                <c:formatCode>#\ ##0_ ;[Red]\-#\ ##0\ </c:formatCode>
                <c:ptCount val="8"/>
                <c:pt idx="0">
                  <c:v>5542</c:v>
                </c:pt>
                <c:pt idx="1">
                  <c:v>5708</c:v>
                </c:pt>
                <c:pt idx="2">
                  <c:v>3671</c:v>
                </c:pt>
                <c:pt idx="3">
                  <c:v>4992</c:v>
                </c:pt>
                <c:pt idx="4">
                  <c:v>345</c:v>
                </c:pt>
                <c:pt idx="5">
                  <c:v>7101</c:v>
                </c:pt>
                <c:pt idx="6">
                  <c:v>5075</c:v>
                </c:pt>
                <c:pt idx="7">
                  <c:v>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671-94B1-67A9308334B7}"/>
            </c:ext>
          </c:extLst>
        </c:ser>
        <c:ser>
          <c:idx val="1"/>
          <c:order val="1"/>
          <c:tx>
            <c:strRef>
              <c:f>rūpniecība!$A$43</c:f>
              <c:strCache>
                <c:ptCount val="1"/>
                <c:pt idx="0">
                  <c:v>Pašražoto preču realizācija kopā, tai skaitā: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rūpniecība!$B$41:$J$41</c15:sqref>
                  </c15:fullRef>
                </c:ext>
              </c:extLst>
              <c:f>(rūpniecība!$B$41:$H$41,rūpniecība!$J$41)</c:f>
              <c:strCache>
                <c:ptCount val="8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Jūrmla</c:v>
                </c:pt>
                <c:pt idx="5">
                  <c:v>Liepāja</c:v>
                </c:pt>
                <c:pt idx="6">
                  <c:v>Rēzekne</c:v>
                </c:pt>
                <c:pt idx="7">
                  <c:v>Ventspils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rūpniecība!$B$43:$J$43</c15:sqref>
                  </c15:fullRef>
                </c:ext>
              </c:extLst>
              <c:f>(rūpniecība!$B$43:$H$43,rūpniecība!$J$43)</c:f>
              <c:numCache>
                <c:formatCode>#,##0</c:formatCode>
                <c:ptCount val="8"/>
                <c:pt idx="0">
                  <c:v>5752</c:v>
                </c:pt>
                <c:pt idx="1">
                  <c:v>5908</c:v>
                </c:pt>
                <c:pt idx="2">
                  <c:v>4177</c:v>
                </c:pt>
                <c:pt idx="3">
                  <c:v>5268</c:v>
                </c:pt>
                <c:pt idx="4" formatCode="#\ ##0_ ;[Red]\-#\ ##0\ ">
                  <c:v>390</c:v>
                </c:pt>
                <c:pt idx="5" formatCode="#\ ##0_ ;[Red]\-#\ ##0\ ">
                  <c:v>7357</c:v>
                </c:pt>
                <c:pt idx="6" formatCode="#\ ##0_ ;[Red]\-#\ ##0\ ">
                  <c:v>5042</c:v>
                </c:pt>
                <c:pt idx="7" formatCode="#\ ##0_ ;[Red]\-#\ ##0\ ">
                  <c:v>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671-94B1-67A9308334B7}"/>
            </c:ext>
          </c:extLst>
        </c:ser>
        <c:ser>
          <c:idx val="2"/>
          <c:order val="2"/>
          <c:tx>
            <c:strRef>
              <c:f>rūpniecība!$A$44</c:f>
              <c:strCache>
                <c:ptCount val="1"/>
                <c:pt idx="0">
                  <c:v>          vietējā tirgū</c:v>
                </c:pt>
              </c:strCache>
            </c:strRef>
          </c:tx>
          <c:spPr>
            <a:noFill/>
            <a:ln w="28575">
              <a:solidFill>
                <a:schemeClr val="accent6">
                  <a:lumMod val="50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rūpniecība!$B$41:$J$41</c15:sqref>
                  </c15:fullRef>
                </c:ext>
              </c:extLst>
              <c:f>(rūpniecība!$B$41:$H$41,rūpniecība!$J$41)</c:f>
              <c:strCache>
                <c:ptCount val="8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Jūrmla</c:v>
                </c:pt>
                <c:pt idx="5">
                  <c:v>Liepāja</c:v>
                </c:pt>
                <c:pt idx="6">
                  <c:v>Rēzekne</c:v>
                </c:pt>
                <c:pt idx="7">
                  <c:v>Ventspils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rūpniecība!$B$44:$J$44</c15:sqref>
                  </c15:fullRef>
                </c:ext>
              </c:extLst>
              <c:f>(rūpniecība!$B$44:$H$44,rūpniecība!$J$44)</c:f>
              <c:numCache>
                <c:formatCode>0</c:formatCode>
                <c:ptCount val="8"/>
                <c:pt idx="0">
                  <c:v>1997</c:v>
                </c:pt>
                <c:pt idx="1">
                  <c:v>1894</c:v>
                </c:pt>
                <c:pt idx="2">
                  <c:v>1309</c:v>
                </c:pt>
                <c:pt idx="3">
                  <c:v>1544</c:v>
                </c:pt>
                <c:pt idx="5">
                  <c:v>1693</c:v>
                </c:pt>
                <c:pt idx="6">
                  <c:v>2887</c:v>
                </c:pt>
                <c:pt idx="7">
                  <c:v>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5-4671-94B1-67A9308334B7}"/>
            </c:ext>
          </c:extLst>
        </c:ser>
        <c:ser>
          <c:idx val="3"/>
          <c:order val="3"/>
          <c:tx>
            <c:strRef>
              <c:f>rūpniecība!$A$45</c:f>
              <c:strCache>
                <c:ptCount val="1"/>
                <c:pt idx="0">
                  <c:v>          eksports</c:v>
                </c:pt>
              </c:strCache>
            </c:strRef>
          </c:tx>
          <c:spPr>
            <a:noFill/>
            <a:ln w="28575">
              <a:solidFill>
                <a:schemeClr val="accent6">
                  <a:lumMod val="7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rūpniecība!$B$41:$J$41</c15:sqref>
                  </c15:fullRef>
                </c:ext>
              </c:extLst>
              <c:f>(rūpniecība!$B$41:$H$41,rūpniecība!$J$41)</c:f>
              <c:strCache>
                <c:ptCount val="8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Jūrmla</c:v>
                </c:pt>
                <c:pt idx="5">
                  <c:v>Liepāja</c:v>
                </c:pt>
                <c:pt idx="6">
                  <c:v>Rēzekne</c:v>
                </c:pt>
                <c:pt idx="7">
                  <c:v>Ventspils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rūpniecība!$B$45:$J$45</c15:sqref>
                  </c15:fullRef>
                </c:ext>
              </c:extLst>
              <c:f>(rūpniecība!$B$45:$H$45,rūpniecība!$J$45)</c:f>
              <c:numCache>
                <c:formatCode>#\ ##0_ ;[Red]\-#\ ##0\ </c:formatCode>
                <c:ptCount val="8"/>
                <c:pt idx="0">
                  <c:v>3755</c:v>
                </c:pt>
                <c:pt idx="1">
                  <c:v>4014</c:v>
                </c:pt>
                <c:pt idx="2">
                  <c:v>2868</c:v>
                </c:pt>
                <c:pt idx="3">
                  <c:v>3724</c:v>
                </c:pt>
                <c:pt idx="5">
                  <c:v>5664</c:v>
                </c:pt>
                <c:pt idx="6">
                  <c:v>2156</c:v>
                </c:pt>
                <c:pt idx="7">
                  <c:v>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5-4671-94B1-67A930833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8"/>
        <c:overlap val="-8"/>
        <c:axId val="1198353312"/>
        <c:axId val="1198346784"/>
      </c:barChart>
      <c:catAx>
        <c:axId val="11983533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4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46784"/>
        <c:scaling>
          <c:orientation val="minMax"/>
          <c:max val="125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53312"/>
        <c:crosses val="autoZero"/>
        <c:crossBetween val="between"/>
        <c:majorUnit val="1250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Liepājas apstrādes rūpniecības rūpniecības preču izlaide un realizācija, milj.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rūpniecība!$B$2</c:f>
              <c:strCache>
                <c:ptCount val="1"/>
                <c:pt idx="0">
                  <c:v>Rūpniecības produkcijas izlaide,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rūpniecība!$A$3:$A$27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rūpniecība!$B$3:$B$27</c:f>
              <c:numCache>
                <c:formatCode>#\ ##0.0_ ;[Red]\-#\ ##0.0\ </c:formatCode>
                <c:ptCount val="9"/>
                <c:pt idx="0">
                  <c:v>153</c:v>
                </c:pt>
                <c:pt idx="1">
                  <c:v>355.1</c:v>
                </c:pt>
                <c:pt idx="2">
                  <c:v>454.7</c:v>
                </c:pt>
                <c:pt idx="3">
                  <c:v>255.482</c:v>
                </c:pt>
                <c:pt idx="4" formatCode="General">
                  <c:v>338.3</c:v>
                </c:pt>
                <c:pt idx="5" formatCode="0.0">
                  <c:v>411.26</c:v>
                </c:pt>
                <c:pt idx="6" formatCode="0.0">
                  <c:v>510.84949999999998</c:v>
                </c:pt>
                <c:pt idx="7">
                  <c:v>505.53930000000003</c:v>
                </c:pt>
                <c:pt idx="8" formatCode="0.0">
                  <c:v>478.61279999999999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8-42EE-AAAD-17975978B1C4}"/>
            </c:ext>
          </c:extLst>
        </c:ser>
        <c:ser>
          <c:idx val="1"/>
          <c:order val="1"/>
          <c:tx>
            <c:strRef>
              <c:f>rūpniecība!$C$2</c:f>
              <c:strCache>
                <c:ptCount val="1"/>
                <c:pt idx="0">
                  <c:v>Pašražoto preču realizācija kopā, tai skaitā: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rūpniecība!$A$3:$A$27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rūpniecība!$C$3:$C$27</c:f>
              <c:numCache>
                <c:formatCode>#\ ##0.0_ ;[Red]\-#\ ##0.0\ </c:formatCode>
                <c:ptCount val="9"/>
                <c:pt idx="0">
                  <c:v>158.4</c:v>
                </c:pt>
                <c:pt idx="1">
                  <c:v>354.7</c:v>
                </c:pt>
                <c:pt idx="2">
                  <c:v>421.6</c:v>
                </c:pt>
                <c:pt idx="3">
                  <c:v>281.346</c:v>
                </c:pt>
                <c:pt idx="4" formatCode="General">
                  <c:v>343.8</c:v>
                </c:pt>
                <c:pt idx="5" formatCode="0.0">
                  <c:v>421.67</c:v>
                </c:pt>
                <c:pt idx="6" formatCode="0.0">
                  <c:v>516.21299999999997</c:v>
                </c:pt>
                <c:pt idx="7">
                  <c:v>513.41120000000001</c:v>
                </c:pt>
                <c:pt idx="8" formatCode="0.0">
                  <c:v>495.82260000000002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8-42EE-AAAD-17975978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354400"/>
        <c:axId val="1198359296"/>
      </c:barChart>
      <c:lineChart>
        <c:grouping val="standard"/>
        <c:varyColors val="0"/>
        <c:ser>
          <c:idx val="3"/>
          <c:order val="3"/>
          <c:tx>
            <c:strRef>
              <c:f>rūpniecība!$E$2</c:f>
              <c:strCache>
                <c:ptCount val="1"/>
                <c:pt idx="0">
                  <c:v>          vietējā tirgū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rūpniecība!$A$3:$A$27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rūpniecība!$E$3:$E$27</c:f>
              <c:numCache>
                <c:formatCode>#\ ##0.0_ ;[Red]\-#\ ##0.0\ </c:formatCode>
                <c:ptCount val="9"/>
                <c:pt idx="0">
                  <c:v>28.2</c:v>
                </c:pt>
                <c:pt idx="1">
                  <c:v>69.8</c:v>
                </c:pt>
                <c:pt idx="2">
                  <c:v>49.3</c:v>
                </c:pt>
                <c:pt idx="3">
                  <c:v>53.682000000000002</c:v>
                </c:pt>
                <c:pt idx="4" formatCode="0.0">
                  <c:v>82.707999999999998</c:v>
                </c:pt>
                <c:pt idx="5" formatCode="0.0">
                  <c:v>94.769000000000005</c:v>
                </c:pt>
                <c:pt idx="6" formatCode="0.0">
                  <c:v>105.41800000000001</c:v>
                </c:pt>
                <c:pt idx="7">
                  <c:v>111.47898000000001</c:v>
                </c:pt>
                <c:pt idx="8" formatCode="0.0">
                  <c:v>114.1053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9E8-42EE-AAAD-17975978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54400"/>
        <c:axId val="1198359296"/>
      </c:lineChart>
      <c:lineChart>
        <c:grouping val="standard"/>
        <c:varyColors val="0"/>
        <c:ser>
          <c:idx val="2"/>
          <c:order val="2"/>
          <c:tx>
            <c:strRef>
              <c:f>rūpniecība!$D$2</c:f>
              <c:strCache>
                <c:ptCount val="1"/>
                <c:pt idx="0">
                  <c:v>          eksports: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rūpniecība!$A$3:$A$27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rūpniecība!$D$3:$D$27</c:f>
              <c:numCache>
                <c:formatCode>#\ ##0.0_ ;[Red]\-#\ ##0.0\ </c:formatCode>
                <c:ptCount val="9"/>
                <c:pt idx="0">
                  <c:v>130.19999999999999</c:v>
                </c:pt>
                <c:pt idx="1">
                  <c:v>284.8</c:v>
                </c:pt>
                <c:pt idx="2">
                  <c:v>372.3</c:v>
                </c:pt>
                <c:pt idx="3">
                  <c:v>227.66399999999999</c:v>
                </c:pt>
                <c:pt idx="4" formatCode="0.0">
                  <c:v>261.06099999999998</c:v>
                </c:pt>
                <c:pt idx="5" formatCode="General">
                  <c:v>326.89999999999998</c:v>
                </c:pt>
                <c:pt idx="6" formatCode="0.0">
                  <c:v>410.79500000000002</c:v>
                </c:pt>
                <c:pt idx="7">
                  <c:v>401.93220000000002</c:v>
                </c:pt>
                <c:pt idx="8" formatCode="0.0">
                  <c:v>381.71730000000002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9E8-42EE-AAAD-17975978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70176"/>
        <c:axId val="1198371264"/>
      </c:lineChart>
      <c:catAx>
        <c:axId val="119835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198359296"/>
        <c:crosses val="autoZero"/>
        <c:auto val="1"/>
        <c:lblAlgn val="ctr"/>
        <c:lblOffset val="100"/>
        <c:noMultiLvlLbl val="0"/>
      </c:catAx>
      <c:valAx>
        <c:axId val="119835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[Red]\-#\ ##0.0\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198354400"/>
        <c:crosses val="autoZero"/>
        <c:crossBetween val="between"/>
      </c:valAx>
      <c:catAx>
        <c:axId val="119837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8371264"/>
        <c:crosses val="autoZero"/>
        <c:auto val="1"/>
        <c:lblAlgn val="ctr"/>
        <c:lblOffset val="100"/>
        <c:noMultiLvlLbl val="0"/>
      </c:catAx>
      <c:valAx>
        <c:axId val="1198371264"/>
        <c:scaling>
          <c:orientation val="minMax"/>
        </c:scaling>
        <c:delete val="0"/>
        <c:axPos val="r"/>
        <c:numFmt formatCode="#\ ##0.0_ ;[Red]\-#\ ##0.0\ 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198370176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15</xdr:col>
      <xdr:colOff>314325</xdr:colOff>
      <xdr:row>105</xdr:row>
      <xdr:rowOff>19050</xdr:rowOff>
    </xdr:to>
    <xdr:graphicFrame macro="">
      <xdr:nvGraphicFramePr>
        <xdr:cNvPr id="1597" name="Chart 27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107</xdr:row>
      <xdr:rowOff>9525</xdr:rowOff>
    </xdr:from>
    <xdr:to>
      <xdr:col>15</xdr:col>
      <xdr:colOff>304800</xdr:colOff>
      <xdr:row>146</xdr:row>
      <xdr:rowOff>100965</xdr:rowOff>
    </xdr:to>
    <xdr:graphicFrame macro="">
      <xdr:nvGraphicFramePr>
        <xdr:cNvPr id="1598" name="Chart 29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149</xdr:row>
      <xdr:rowOff>104775</xdr:rowOff>
    </xdr:from>
    <xdr:to>
      <xdr:col>15</xdr:col>
      <xdr:colOff>280035</xdr:colOff>
      <xdr:row>195</xdr:row>
      <xdr:rowOff>45720</xdr:rowOff>
    </xdr:to>
    <xdr:graphicFrame macro="">
      <xdr:nvGraphicFramePr>
        <xdr:cNvPr id="1599" name="Chart 3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198</xdr:row>
      <xdr:rowOff>5715</xdr:rowOff>
    </xdr:from>
    <xdr:to>
      <xdr:col>15</xdr:col>
      <xdr:colOff>398145</xdr:colOff>
      <xdr:row>243</xdr:row>
      <xdr:rowOff>142875</xdr:rowOff>
    </xdr:to>
    <xdr:graphicFrame macro="">
      <xdr:nvGraphicFramePr>
        <xdr:cNvPr id="1600" name="Chart 3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246</xdr:row>
      <xdr:rowOff>70484</xdr:rowOff>
    </xdr:from>
    <xdr:to>
      <xdr:col>15</xdr:col>
      <xdr:colOff>361950</xdr:colOff>
      <xdr:row>289</xdr:row>
      <xdr:rowOff>51434</xdr:rowOff>
    </xdr:to>
    <xdr:graphicFrame macro="">
      <xdr:nvGraphicFramePr>
        <xdr:cNvPr id="1601" name="Chart 3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38</xdr:row>
      <xdr:rowOff>53340</xdr:rowOff>
    </xdr:from>
    <xdr:to>
      <xdr:col>16</xdr:col>
      <xdr:colOff>139065</xdr:colOff>
      <xdr:row>61</xdr:row>
      <xdr:rowOff>139065</xdr:rowOff>
    </xdr:to>
    <xdr:graphicFrame macro="">
      <xdr:nvGraphicFramePr>
        <xdr:cNvPr id="1602" name="Chart 3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97155</xdr:rowOff>
    </xdr:from>
    <xdr:to>
      <xdr:col>16</xdr:col>
      <xdr:colOff>91440</xdr:colOff>
      <xdr:row>37</xdr:row>
      <xdr:rowOff>28575</xdr:rowOff>
    </xdr:to>
    <xdr:graphicFrame macro="">
      <xdr:nvGraphicFramePr>
        <xdr:cNvPr id="1603" name="Diagramma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323"/>
  <sheetViews>
    <sheetView tabSelected="1" workbookViewId="0">
      <selection activeCell="D283" sqref="D283"/>
    </sheetView>
  </sheetViews>
  <sheetFormatPr defaultColWidth="9.33203125" defaultRowHeight="13.2" outlineLevelRow="1" x14ac:dyDescent="0.25"/>
  <cols>
    <col min="1" max="1" width="31" style="1" bestFit="1" customWidth="1"/>
    <col min="2" max="2" width="10.77734375" style="1" customWidth="1"/>
    <col min="3" max="3" width="11.77734375" style="1" customWidth="1"/>
    <col min="4" max="10" width="10.6640625" style="1" customWidth="1"/>
    <col min="11" max="11" width="11.6640625" style="1" bestFit="1" customWidth="1"/>
    <col min="12" max="14" width="9.33203125" style="1"/>
    <col min="15" max="15" width="6.6640625" style="1" customWidth="1"/>
    <col min="16" max="16" width="7.33203125" style="1" customWidth="1"/>
    <col min="17" max="17" width="3.77734375" style="1" customWidth="1"/>
    <col min="18" max="18" width="1.33203125" style="3" customWidth="1"/>
    <col min="19" max="19" width="9.33203125" style="1"/>
    <col min="20" max="20" width="9.33203125" style="2"/>
    <col min="21" max="16384" width="9.33203125" style="1"/>
  </cols>
  <sheetData>
    <row r="2" spans="1:5" x14ac:dyDescent="0.25">
      <c r="B2" s="13" t="s">
        <v>17</v>
      </c>
      <c r="C2" s="13" t="s">
        <v>14</v>
      </c>
      <c r="D2" s="1" t="s">
        <v>18</v>
      </c>
      <c r="E2" s="1" t="s">
        <v>15</v>
      </c>
    </row>
    <row r="3" spans="1:5" x14ac:dyDescent="0.25">
      <c r="A3" s="36">
        <v>2000</v>
      </c>
      <c r="B3" s="2">
        <v>153</v>
      </c>
      <c r="C3" s="2">
        <v>158.4</v>
      </c>
      <c r="D3" s="2">
        <v>130.19999999999999</v>
      </c>
      <c r="E3" s="2">
        <v>28.2</v>
      </c>
    </row>
    <row r="4" spans="1:5" hidden="1" outlineLevel="1" x14ac:dyDescent="0.25">
      <c r="A4" s="36">
        <v>2001</v>
      </c>
      <c r="B4" s="2">
        <v>169</v>
      </c>
      <c r="C4" s="2">
        <v>170.4</v>
      </c>
      <c r="D4" s="2">
        <v>137.6</v>
      </c>
      <c r="E4" s="2">
        <v>32.700000000000003</v>
      </c>
    </row>
    <row r="5" spans="1:5" hidden="1" outlineLevel="1" x14ac:dyDescent="0.25">
      <c r="A5" s="36">
        <v>2002</v>
      </c>
      <c r="B5" s="2">
        <v>168.4</v>
      </c>
      <c r="C5" s="2">
        <v>161.30000000000001</v>
      </c>
      <c r="D5" s="2">
        <v>127.7</v>
      </c>
      <c r="E5" s="2">
        <v>33.6</v>
      </c>
    </row>
    <row r="6" spans="1:5" hidden="1" outlineLevel="1" x14ac:dyDescent="0.25">
      <c r="A6" s="36">
        <v>2003</v>
      </c>
      <c r="B6" s="2">
        <v>222.1</v>
      </c>
      <c r="C6" s="2">
        <v>217.6</v>
      </c>
      <c r="D6" s="2">
        <v>169.3</v>
      </c>
      <c r="E6" s="2">
        <v>48.3</v>
      </c>
    </row>
    <row r="7" spans="1:5" hidden="1" outlineLevel="1" x14ac:dyDescent="0.25">
      <c r="A7" s="36">
        <v>2004</v>
      </c>
      <c r="B7" s="2">
        <v>334</v>
      </c>
      <c r="C7" s="2">
        <v>322.3</v>
      </c>
      <c r="D7" s="2">
        <v>253.3</v>
      </c>
      <c r="E7" s="2">
        <v>68.900000000000006</v>
      </c>
    </row>
    <row r="8" spans="1:5" collapsed="1" x14ac:dyDescent="0.25">
      <c r="A8" s="36">
        <v>2005</v>
      </c>
      <c r="B8" s="2">
        <v>355.1</v>
      </c>
      <c r="C8" s="2">
        <v>354.7</v>
      </c>
      <c r="D8" s="2">
        <v>284.8</v>
      </c>
      <c r="E8" s="2">
        <v>69.8</v>
      </c>
    </row>
    <row r="9" spans="1:5" hidden="1" outlineLevel="1" x14ac:dyDescent="0.25">
      <c r="A9" s="36">
        <v>2006</v>
      </c>
      <c r="B9" s="2">
        <v>438.7</v>
      </c>
      <c r="C9" s="2">
        <v>441</v>
      </c>
      <c r="D9" s="2">
        <v>344.9</v>
      </c>
      <c r="E9" s="2">
        <v>96</v>
      </c>
    </row>
    <row r="10" spans="1:5" hidden="1" outlineLevel="1" x14ac:dyDescent="0.25">
      <c r="A10" s="36">
        <v>2007</v>
      </c>
      <c r="B10" s="2">
        <v>516.4</v>
      </c>
      <c r="C10" s="2">
        <v>519.29999999999995</v>
      </c>
      <c r="D10" s="2">
        <v>407.9</v>
      </c>
      <c r="E10" s="2">
        <v>111.5</v>
      </c>
    </row>
    <row r="11" spans="1:5" hidden="1" outlineLevel="1" x14ac:dyDescent="0.25">
      <c r="A11" s="36">
        <v>2008</v>
      </c>
      <c r="B11" s="2">
        <v>562.6</v>
      </c>
      <c r="C11" s="2">
        <v>563</v>
      </c>
      <c r="D11" s="2">
        <v>459.6</v>
      </c>
      <c r="E11" s="2">
        <v>103.4</v>
      </c>
    </row>
    <row r="12" spans="1:5" hidden="1" outlineLevel="1" x14ac:dyDescent="0.25">
      <c r="A12" s="36">
        <v>2009</v>
      </c>
      <c r="B12" s="2">
        <v>338</v>
      </c>
      <c r="C12" s="2">
        <v>357.5</v>
      </c>
      <c r="D12" s="2">
        <v>307.2</v>
      </c>
      <c r="E12" s="2">
        <v>50.2</v>
      </c>
    </row>
    <row r="13" spans="1:5" collapsed="1" x14ac:dyDescent="0.25">
      <c r="A13" s="36">
        <v>2010</v>
      </c>
      <c r="B13" s="2">
        <v>454.7</v>
      </c>
      <c r="C13" s="2">
        <v>421.6</v>
      </c>
      <c r="D13" s="2">
        <v>372.3</v>
      </c>
      <c r="E13" s="2">
        <v>49.3</v>
      </c>
    </row>
    <row r="14" spans="1:5" hidden="1" outlineLevel="1" x14ac:dyDescent="0.25">
      <c r="A14" s="36">
        <v>2011</v>
      </c>
      <c r="B14" s="2">
        <v>469.9</v>
      </c>
      <c r="C14" s="2">
        <v>477.7</v>
      </c>
      <c r="D14" s="2">
        <v>417.6</v>
      </c>
      <c r="E14" s="2">
        <v>60.1</v>
      </c>
    </row>
    <row r="15" spans="1:5" hidden="1" outlineLevel="1" x14ac:dyDescent="0.25">
      <c r="A15" s="36">
        <v>2012</v>
      </c>
      <c r="B15" s="2">
        <v>607.9</v>
      </c>
      <c r="C15" s="2">
        <v>629.20000000000005</v>
      </c>
      <c r="D15" s="2">
        <v>567.6</v>
      </c>
      <c r="E15" s="2">
        <v>61.5</v>
      </c>
    </row>
    <row r="16" spans="1:5" hidden="1" outlineLevel="1" x14ac:dyDescent="0.25">
      <c r="A16" s="36">
        <v>2013</v>
      </c>
      <c r="B16" s="2">
        <v>285</v>
      </c>
      <c r="C16" s="2">
        <v>332.4</v>
      </c>
      <c r="D16" s="2">
        <v>278.89999999999998</v>
      </c>
      <c r="E16" s="2">
        <v>53</v>
      </c>
    </row>
    <row r="17" spans="1:5" hidden="1" outlineLevel="1" x14ac:dyDescent="0.25">
      <c r="A17" s="36">
        <v>2014</v>
      </c>
      <c r="B17" s="2">
        <v>206.2</v>
      </c>
      <c r="C17" s="2">
        <v>211</v>
      </c>
      <c r="D17" s="2">
        <v>157.69999999999999</v>
      </c>
      <c r="E17" s="2">
        <v>54.5</v>
      </c>
    </row>
    <row r="18" spans="1:5" collapsed="1" x14ac:dyDescent="0.25">
      <c r="A18" s="36">
        <v>2015</v>
      </c>
      <c r="B18" s="2">
        <v>255.482</v>
      </c>
      <c r="C18" s="2">
        <v>281.346</v>
      </c>
      <c r="D18" s="2">
        <v>227.66399999999999</v>
      </c>
      <c r="E18" s="2">
        <v>53.682000000000002</v>
      </c>
    </row>
    <row r="19" spans="1:5" hidden="1" outlineLevel="1" x14ac:dyDescent="0.25">
      <c r="A19" s="36">
        <v>2016</v>
      </c>
      <c r="B19" s="13">
        <v>217.99080000000001</v>
      </c>
      <c r="C19" s="13">
        <v>233.93600000000001</v>
      </c>
      <c r="D19" s="13">
        <v>179.7</v>
      </c>
      <c r="E19" s="37">
        <v>54.244999999999997</v>
      </c>
    </row>
    <row r="20" spans="1:5" hidden="1" outlineLevel="1" x14ac:dyDescent="0.25">
      <c r="A20" s="36">
        <v>2017</v>
      </c>
      <c r="B20" s="13">
        <v>271.07319999999999</v>
      </c>
      <c r="C20" s="13">
        <v>279.91840000000002</v>
      </c>
      <c r="D20" s="13">
        <v>212.65</v>
      </c>
      <c r="E20" s="13">
        <v>67.268000000000001</v>
      </c>
    </row>
    <row r="21" spans="1:5" hidden="1" outlineLevel="1" x14ac:dyDescent="0.25">
      <c r="A21" s="36">
        <v>2018</v>
      </c>
      <c r="B21" s="1">
        <v>282.39999999999998</v>
      </c>
      <c r="C21" s="13">
        <v>287</v>
      </c>
      <c r="D21" s="1">
        <v>222.5</v>
      </c>
      <c r="E21" s="1">
        <v>64.5</v>
      </c>
    </row>
    <row r="22" spans="1:5" hidden="1" outlineLevel="1" x14ac:dyDescent="0.25">
      <c r="A22" s="36">
        <v>2019</v>
      </c>
      <c r="B22" s="1">
        <v>311.5</v>
      </c>
      <c r="C22" s="1">
        <v>310.3</v>
      </c>
      <c r="D22" s="1">
        <v>239.7</v>
      </c>
      <c r="E22" s="1">
        <v>70.599999999999994</v>
      </c>
    </row>
    <row r="23" spans="1:5" collapsed="1" x14ac:dyDescent="0.25">
      <c r="A23" s="36">
        <v>2020</v>
      </c>
      <c r="B23" s="1">
        <v>338.3</v>
      </c>
      <c r="C23" s="1">
        <v>343.8</v>
      </c>
      <c r="D23" s="13">
        <v>261.06099999999998</v>
      </c>
      <c r="E23" s="13">
        <v>82.707999999999998</v>
      </c>
    </row>
    <row r="24" spans="1:5" x14ac:dyDescent="0.25">
      <c r="A24" s="36">
        <v>2021</v>
      </c>
      <c r="B24" s="13">
        <v>411.26</v>
      </c>
      <c r="C24" s="13">
        <v>421.67</v>
      </c>
      <c r="D24" s="1">
        <v>326.89999999999998</v>
      </c>
      <c r="E24" s="13">
        <v>94.769000000000005</v>
      </c>
    </row>
    <row r="25" spans="1:5" x14ac:dyDescent="0.25">
      <c r="A25" s="36">
        <v>2022</v>
      </c>
      <c r="B25" s="13">
        <v>510.84949999999998</v>
      </c>
      <c r="C25" s="13">
        <v>516.21299999999997</v>
      </c>
      <c r="D25" s="13">
        <v>410.79500000000002</v>
      </c>
      <c r="E25" s="13">
        <v>105.41800000000001</v>
      </c>
    </row>
    <row r="26" spans="1:5" x14ac:dyDescent="0.25">
      <c r="A26" s="36">
        <v>2023</v>
      </c>
      <c r="B26" s="53">
        <v>505.53930000000003</v>
      </c>
      <c r="C26" s="53">
        <v>513.41120000000001</v>
      </c>
      <c r="D26" s="53">
        <v>401.93220000000002</v>
      </c>
      <c r="E26" s="53">
        <v>111.47898000000001</v>
      </c>
    </row>
    <row r="27" spans="1:5" x14ac:dyDescent="0.25">
      <c r="A27" s="36">
        <v>2024</v>
      </c>
      <c r="B27" s="13">
        <v>478.61279999999999</v>
      </c>
      <c r="C27" s="13">
        <v>495.82260000000002</v>
      </c>
      <c r="D27" s="13">
        <v>381.71730000000002</v>
      </c>
      <c r="E27" s="13">
        <v>114.1053</v>
      </c>
    </row>
    <row r="28" spans="1:5" x14ac:dyDescent="0.25">
      <c r="A28" s="36"/>
      <c r="B28" s="13"/>
      <c r="C28" s="13"/>
      <c r="D28" s="13"/>
      <c r="E28" s="13"/>
    </row>
    <row r="29" spans="1:5" x14ac:dyDescent="0.25">
      <c r="A29" s="36"/>
      <c r="B29" s="13"/>
      <c r="C29" s="13"/>
      <c r="D29" s="13"/>
      <c r="E29" s="13"/>
    </row>
    <row r="30" spans="1:5" x14ac:dyDescent="0.25">
      <c r="A30" s="36"/>
    </row>
    <row r="31" spans="1:5" x14ac:dyDescent="0.25">
      <c r="A31" s="36"/>
    </row>
    <row r="32" spans="1:5" x14ac:dyDescent="0.25">
      <c r="A32" s="36"/>
    </row>
    <row r="33" spans="1:26" x14ac:dyDescent="0.25">
      <c r="A33" s="36"/>
    </row>
    <row r="34" spans="1:26" x14ac:dyDescent="0.25">
      <c r="A34" s="36"/>
    </row>
    <row r="35" spans="1:26" x14ac:dyDescent="0.25">
      <c r="A35" s="36"/>
    </row>
    <row r="36" spans="1:26" x14ac:dyDescent="0.25">
      <c r="A36" s="36"/>
      <c r="Z36" s="1" t="s">
        <v>19</v>
      </c>
    </row>
    <row r="39" spans="1:26" s="3" customFormat="1" ht="5.25" customHeight="1" x14ac:dyDescent="0.25">
      <c r="T39" s="4"/>
    </row>
    <row r="41" spans="1:26" x14ac:dyDescent="0.25">
      <c r="B41" s="1" t="s">
        <v>0</v>
      </c>
      <c r="C41" s="1" t="s">
        <v>2</v>
      </c>
      <c r="D41" s="1" t="s">
        <v>3</v>
      </c>
      <c r="E41" s="1" t="s">
        <v>4</v>
      </c>
      <c r="F41" s="1" t="s">
        <v>20</v>
      </c>
      <c r="G41" s="1" t="s">
        <v>1</v>
      </c>
      <c r="H41" s="1" t="s">
        <v>6</v>
      </c>
      <c r="I41" s="1" t="s">
        <v>12</v>
      </c>
      <c r="J41" s="1" t="s">
        <v>7</v>
      </c>
    </row>
    <row r="42" spans="1:26" x14ac:dyDescent="0.25">
      <c r="A42" s="14" t="s">
        <v>13</v>
      </c>
      <c r="B42" s="54">
        <v>5542</v>
      </c>
      <c r="C42" s="54">
        <v>5708</v>
      </c>
      <c r="D42" s="54">
        <v>3671</v>
      </c>
      <c r="E42" s="54">
        <v>4992</v>
      </c>
      <c r="F42" s="54">
        <v>345</v>
      </c>
      <c r="G42" s="54">
        <v>7101</v>
      </c>
      <c r="H42" s="54">
        <v>5075</v>
      </c>
      <c r="I42" s="45"/>
      <c r="J42" s="54">
        <v>9218</v>
      </c>
      <c r="K42" s="32"/>
    </row>
    <row r="43" spans="1:26" ht="26.4" x14ac:dyDescent="0.25">
      <c r="A43" s="15" t="s">
        <v>14</v>
      </c>
      <c r="B43" s="46">
        <v>5752</v>
      </c>
      <c r="C43" s="46">
        <v>5908</v>
      </c>
      <c r="D43" s="46">
        <v>4177</v>
      </c>
      <c r="E43" s="46">
        <v>5268</v>
      </c>
      <c r="F43" s="55">
        <v>390</v>
      </c>
      <c r="G43" s="55">
        <v>7357</v>
      </c>
      <c r="H43" s="55">
        <v>5042</v>
      </c>
      <c r="I43" s="46"/>
      <c r="J43" s="55">
        <v>9747</v>
      </c>
    </row>
    <row r="44" spans="1:26" x14ac:dyDescent="0.25">
      <c r="A44" s="15" t="s">
        <v>15</v>
      </c>
      <c r="B44" s="60">
        <v>1997</v>
      </c>
      <c r="C44" s="60">
        <v>1894</v>
      </c>
      <c r="D44" s="60">
        <v>1309</v>
      </c>
      <c r="E44" s="60">
        <v>1544</v>
      </c>
      <c r="F44" s="45"/>
      <c r="G44" s="56">
        <v>1693</v>
      </c>
      <c r="H44" s="56">
        <v>2887</v>
      </c>
      <c r="I44" s="45"/>
      <c r="J44" s="59">
        <v>1364</v>
      </c>
    </row>
    <row r="45" spans="1:26" x14ac:dyDescent="0.25">
      <c r="A45" s="16" t="s">
        <v>16</v>
      </c>
      <c r="B45" s="57">
        <v>3755</v>
      </c>
      <c r="C45" s="57">
        <v>4014</v>
      </c>
      <c r="D45" s="57">
        <v>2868</v>
      </c>
      <c r="E45" s="57">
        <v>3724</v>
      </c>
      <c r="F45" s="58"/>
      <c r="G45" s="57">
        <v>5664</v>
      </c>
      <c r="H45" s="57">
        <v>2156</v>
      </c>
      <c r="I45" s="45"/>
      <c r="J45" s="57">
        <v>8393</v>
      </c>
      <c r="K45" s="32"/>
    </row>
    <row r="46" spans="1:26" x14ac:dyDescent="0.25">
      <c r="B46" s="45"/>
      <c r="C46" s="45"/>
      <c r="D46" s="45"/>
      <c r="E46" s="45"/>
      <c r="F46" s="45"/>
      <c r="G46" s="45"/>
      <c r="H46" s="45"/>
      <c r="I46" s="45"/>
      <c r="J46" s="45"/>
    </row>
    <row r="49" spans="2:21" x14ac:dyDescent="0.25">
      <c r="B49" s="44"/>
      <c r="C49" s="44"/>
    </row>
    <row r="50" spans="2:21" x14ac:dyDescent="0.25">
      <c r="B50" s="44"/>
      <c r="C50" s="44"/>
    </row>
    <row r="51" spans="2:21" x14ac:dyDescent="0.25">
      <c r="B51" s="44"/>
      <c r="C51" s="44"/>
    </row>
    <row r="52" spans="2:21" x14ac:dyDescent="0.25">
      <c r="B52" s="44"/>
      <c r="C52" s="44"/>
    </row>
    <row r="53" spans="2:21" x14ac:dyDescent="0.25">
      <c r="B53" s="44"/>
      <c r="C53" s="44"/>
    </row>
    <row r="54" spans="2:21" x14ac:dyDescent="0.25">
      <c r="B54" s="44"/>
      <c r="C54" s="44"/>
    </row>
    <row r="55" spans="2:21" x14ac:dyDescent="0.25">
      <c r="B55" s="44"/>
      <c r="C55" s="44"/>
      <c r="U55" s="1" t="s">
        <v>19</v>
      </c>
    </row>
    <row r="56" spans="2:21" x14ac:dyDescent="0.25">
      <c r="B56" s="44"/>
      <c r="C56" s="44"/>
    </row>
    <row r="57" spans="2:21" x14ac:dyDescent="0.25">
      <c r="C57" s="44"/>
    </row>
    <row r="58" spans="2:21" x14ac:dyDescent="0.25">
      <c r="C58" s="44"/>
    </row>
    <row r="64" spans="2:21" s="3" customFormat="1" ht="5.25" customHeight="1" x14ac:dyDescent="0.25">
      <c r="T64" s="4"/>
    </row>
    <row r="66" spans="1:19" x14ac:dyDescent="0.25">
      <c r="A66" s="28"/>
      <c r="B66" s="28" t="s">
        <v>2</v>
      </c>
      <c r="C66" s="28" t="s">
        <v>3</v>
      </c>
      <c r="D66" s="28" t="s">
        <v>4</v>
      </c>
      <c r="E66" s="17" t="s">
        <v>11</v>
      </c>
      <c r="F66" s="28" t="s">
        <v>5</v>
      </c>
      <c r="G66" s="28" t="s">
        <v>1</v>
      </c>
      <c r="H66" s="28" t="s">
        <v>6</v>
      </c>
      <c r="I66" s="17" t="s">
        <v>12</v>
      </c>
      <c r="J66" s="28" t="s">
        <v>7</v>
      </c>
    </row>
    <row r="67" spans="1:19" x14ac:dyDescent="0.25">
      <c r="A67" s="18">
        <v>2000</v>
      </c>
      <c r="B67" s="19">
        <v>47.5</v>
      </c>
      <c r="C67" s="19">
        <v>2.9</v>
      </c>
      <c r="D67" s="19">
        <v>3.2</v>
      </c>
      <c r="E67" s="17"/>
      <c r="F67" s="19">
        <v>1.4</v>
      </c>
      <c r="G67" s="19">
        <v>8.8000000000000007</v>
      </c>
      <c r="H67" s="19">
        <v>1.4</v>
      </c>
      <c r="I67" s="17"/>
      <c r="J67" s="19">
        <v>0.4</v>
      </c>
    </row>
    <row r="68" spans="1:19" hidden="1" outlineLevel="1" x14ac:dyDescent="0.25">
      <c r="A68" s="18">
        <v>2001</v>
      </c>
      <c r="B68" s="19">
        <v>47.5</v>
      </c>
      <c r="C68" s="19">
        <v>3.1</v>
      </c>
      <c r="D68" s="19">
        <v>2.6</v>
      </c>
      <c r="E68" s="17"/>
      <c r="F68" s="19">
        <v>0.7</v>
      </c>
      <c r="G68" s="19">
        <v>8.1999999999999993</v>
      </c>
      <c r="H68" s="19">
        <v>1.3</v>
      </c>
      <c r="I68" s="17"/>
      <c r="J68" s="19">
        <v>0.3</v>
      </c>
    </row>
    <row r="69" spans="1:19" hidden="1" outlineLevel="1" x14ac:dyDescent="0.25">
      <c r="A69" s="18">
        <v>2002</v>
      </c>
      <c r="B69" s="19">
        <v>50.4</v>
      </c>
      <c r="C69" s="19">
        <v>3.3</v>
      </c>
      <c r="D69" s="19">
        <v>2.9</v>
      </c>
      <c r="E69" s="17"/>
      <c r="F69" s="19">
        <v>0.7</v>
      </c>
      <c r="G69" s="19">
        <v>7.5</v>
      </c>
      <c r="H69" s="19">
        <v>1.2</v>
      </c>
      <c r="I69" s="17"/>
      <c r="J69" s="19">
        <v>0.3</v>
      </c>
    </row>
    <row r="70" spans="1:19" hidden="1" outlineLevel="1" x14ac:dyDescent="0.25">
      <c r="A70" s="18">
        <v>2003</v>
      </c>
      <c r="B70" s="19">
        <v>47.7</v>
      </c>
      <c r="C70" s="19">
        <v>3.1</v>
      </c>
      <c r="D70" s="19">
        <v>2.6</v>
      </c>
      <c r="E70" s="17"/>
      <c r="F70" s="19">
        <v>0.7</v>
      </c>
      <c r="G70" s="19">
        <v>8.6</v>
      </c>
      <c r="H70" s="19">
        <v>1.6</v>
      </c>
      <c r="I70" s="17"/>
      <c r="J70" s="19">
        <v>0.2</v>
      </c>
    </row>
    <row r="71" spans="1:19" hidden="1" outlineLevel="1" x14ac:dyDescent="0.25">
      <c r="A71" s="18" t="s">
        <v>9</v>
      </c>
      <c r="B71" s="19">
        <v>45.1</v>
      </c>
      <c r="C71" s="19">
        <v>3.2</v>
      </c>
      <c r="D71" s="19">
        <v>2.4</v>
      </c>
      <c r="E71" s="17"/>
      <c r="F71" s="19">
        <v>0.7</v>
      </c>
      <c r="G71" s="19">
        <v>10.6</v>
      </c>
      <c r="H71" s="19">
        <v>1.5</v>
      </c>
      <c r="I71" s="17"/>
      <c r="J71" s="19">
        <v>0.4</v>
      </c>
    </row>
    <row r="72" spans="1:19" collapsed="1" x14ac:dyDescent="0.25">
      <c r="A72" s="18" t="s">
        <v>10</v>
      </c>
      <c r="B72" s="19">
        <v>45.8</v>
      </c>
      <c r="C72" s="19">
        <v>3.4</v>
      </c>
      <c r="D72" s="19">
        <v>2.2000000000000002</v>
      </c>
      <c r="E72" s="17"/>
      <c r="F72" s="19">
        <v>0.5</v>
      </c>
      <c r="G72" s="19">
        <v>9.5</v>
      </c>
      <c r="H72" s="19">
        <v>1.4</v>
      </c>
      <c r="I72" s="17"/>
      <c r="J72" s="19">
        <v>0.2</v>
      </c>
    </row>
    <row r="73" spans="1:19" hidden="1" outlineLevel="1" x14ac:dyDescent="0.25">
      <c r="A73" s="20">
        <v>2006</v>
      </c>
      <c r="B73" s="19">
        <v>44.5</v>
      </c>
      <c r="C73" s="19">
        <v>3</v>
      </c>
      <c r="D73" s="19">
        <v>2</v>
      </c>
      <c r="E73" s="17"/>
      <c r="F73" s="19">
        <v>0.2</v>
      </c>
      <c r="G73" s="19">
        <v>10</v>
      </c>
      <c r="H73" s="19">
        <v>1.4</v>
      </c>
      <c r="I73" s="17"/>
      <c r="J73" s="19">
        <v>1</v>
      </c>
    </row>
    <row r="74" spans="1:19" hidden="1" outlineLevel="1" x14ac:dyDescent="0.25">
      <c r="A74" s="20">
        <v>2007</v>
      </c>
      <c r="B74" s="19">
        <v>43.548999999999999</v>
      </c>
      <c r="C74" s="19">
        <v>2.8420000000000001</v>
      </c>
      <c r="D74" s="19">
        <v>1.6737</v>
      </c>
      <c r="E74" s="17"/>
      <c r="F74" s="19">
        <v>0.22</v>
      </c>
      <c r="G74" s="19">
        <v>9.9920000000000009</v>
      </c>
      <c r="H74" s="19">
        <v>1.3520000000000001</v>
      </c>
      <c r="I74" s="17"/>
      <c r="J74" s="19">
        <v>0.92789999999999995</v>
      </c>
    </row>
    <row r="75" spans="1:19" s="5" customFormat="1" hidden="1" outlineLevel="1" x14ac:dyDescent="0.25">
      <c r="A75" s="21">
        <v>2008</v>
      </c>
      <c r="B75" s="19">
        <v>43.045000000000002</v>
      </c>
      <c r="C75" s="19">
        <v>3.09</v>
      </c>
      <c r="D75" s="19">
        <v>1.5840000000000001</v>
      </c>
      <c r="E75" s="33"/>
      <c r="F75" s="19">
        <v>0.26100000000000001</v>
      </c>
      <c r="G75" s="19">
        <v>10.532</v>
      </c>
      <c r="H75" s="19">
        <v>1.1895</v>
      </c>
      <c r="I75" s="33"/>
      <c r="J75" s="19">
        <v>1.6485000000000001</v>
      </c>
      <c r="L75" s="6"/>
      <c r="M75" s="6"/>
      <c r="N75" s="6"/>
      <c r="O75" s="6"/>
      <c r="P75" s="6"/>
      <c r="Q75" s="6"/>
      <c r="R75" s="3"/>
      <c r="S75" s="7"/>
    </row>
    <row r="76" spans="1:19" s="5" customFormat="1" hidden="1" outlineLevel="1" x14ac:dyDescent="0.25">
      <c r="A76" s="21">
        <v>2009</v>
      </c>
      <c r="B76" s="19">
        <v>41.110999999999997</v>
      </c>
      <c r="C76" s="19">
        <v>2.82</v>
      </c>
      <c r="D76" s="19">
        <v>1.5755999999999999</v>
      </c>
      <c r="E76" s="33"/>
      <c r="F76" s="19">
        <v>0.313</v>
      </c>
      <c r="G76" s="19">
        <v>8.6539999999999999</v>
      </c>
      <c r="H76" s="19">
        <v>0.97960000000000003</v>
      </c>
      <c r="I76" s="33"/>
      <c r="J76" s="19">
        <v>2.2241</v>
      </c>
      <c r="L76" s="6"/>
      <c r="M76" s="6"/>
      <c r="N76" s="6"/>
      <c r="O76" s="6"/>
      <c r="P76" s="6"/>
      <c r="Q76" s="6"/>
      <c r="R76" s="3"/>
      <c r="S76" s="7"/>
    </row>
    <row r="77" spans="1:19" collapsed="1" x14ac:dyDescent="0.25">
      <c r="A77" s="20">
        <v>2010</v>
      </c>
      <c r="B77" s="25">
        <v>41.3</v>
      </c>
      <c r="C77" s="25">
        <v>2.6</v>
      </c>
      <c r="D77" s="27">
        <v>1.6</v>
      </c>
      <c r="E77" s="17"/>
      <c r="F77" s="25">
        <v>0.3</v>
      </c>
      <c r="G77" s="25">
        <v>9.8000000000000007</v>
      </c>
      <c r="H77" s="25">
        <v>0.9</v>
      </c>
      <c r="I77" s="17"/>
      <c r="J77" s="25">
        <v>1.8</v>
      </c>
    </row>
    <row r="78" spans="1:19" hidden="1" outlineLevel="1" x14ac:dyDescent="0.25">
      <c r="A78" s="20">
        <v>2011</v>
      </c>
      <c r="B78" s="17">
        <v>40.9</v>
      </c>
      <c r="C78" s="17">
        <v>2.8</v>
      </c>
      <c r="D78" s="17">
        <v>1.8</v>
      </c>
      <c r="E78" s="17"/>
      <c r="F78" s="17">
        <v>0.2</v>
      </c>
      <c r="G78" s="17">
        <v>8.6999999999999993</v>
      </c>
      <c r="H78" s="34">
        <v>1</v>
      </c>
      <c r="I78" s="17"/>
      <c r="J78" s="17">
        <v>2.2999999999999998</v>
      </c>
    </row>
    <row r="79" spans="1:19" hidden="1" outlineLevel="1" x14ac:dyDescent="0.25">
      <c r="A79" s="20">
        <v>2012</v>
      </c>
      <c r="B79" s="17">
        <v>39.9</v>
      </c>
      <c r="C79" s="17">
        <v>2.7</v>
      </c>
      <c r="D79" s="17">
        <v>1.9</v>
      </c>
      <c r="E79" s="17"/>
      <c r="F79" s="17">
        <v>0.2</v>
      </c>
      <c r="G79" s="17">
        <v>10.1</v>
      </c>
      <c r="H79" s="17">
        <v>0.9</v>
      </c>
      <c r="I79" s="17"/>
      <c r="J79" s="17">
        <v>2.6</v>
      </c>
    </row>
    <row r="80" spans="1:19" hidden="1" outlineLevel="1" x14ac:dyDescent="0.25">
      <c r="A80" s="20">
        <v>2013</v>
      </c>
      <c r="B80" s="17">
        <v>42.4</v>
      </c>
      <c r="C80" s="17">
        <v>2.6</v>
      </c>
      <c r="D80" s="17">
        <v>2.2000000000000002</v>
      </c>
      <c r="E80" s="17">
        <v>1.4</v>
      </c>
      <c r="F80" s="17">
        <v>0.3</v>
      </c>
      <c r="G80" s="17">
        <v>4.8</v>
      </c>
      <c r="H80" s="17">
        <v>0.8</v>
      </c>
      <c r="I80" s="17">
        <v>2.6</v>
      </c>
      <c r="J80" s="17">
        <v>2.2000000000000002</v>
      </c>
    </row>
    <row r="81" spans="1:10" hidden="1" outlineLevel="1" x14ac:dyDescent="0.25">
      <c r="A81" s="20">
        <v>2014</v>
      </c>
      <c r="B81" s="17">
        <v>39.299999999999997</v>
      </c>
      <c r="C81" s="17">
        <v>2.6</v>
      </c>
      <c r="D81" s="17">
        <v>2.1</v>
      </c>
      <c r="E81" s="17">
        <v>1.4</v>
      </c>
      <c r="F81" s="17">
        <v>0.3</v>
      </c>
      <c r="G81" s="17">
        <v>3.5</v>
      </c>
      <c r="H81" s="34">
        <v>1</v>
      </c>
      <c r="I81" s="17">
        <v>2.9</v>
      </c>
      <c r="J81" s="17">
        <v>2.5</v>
      </c>
    </row>
    <row r="82" spans="1:10" collapsed="1" x14ac:dyDescent="0.25">
      <c r="A82" s="38">
        <v>2015</v>
      </c>
      <c r="B82" s="39">
        <v>38.9</v>
      </c>
      <c r="C82" s="39">
        <v>2.5</v>
      </c>
      <c r="D82" s="40">
        <v>2.2000000000000002</v>
      </c>
      <c r="E82" s="39">
        <v>0.6</v>
      </c>
      <c r="F82" s="41"/>
      <c r="G82" s="39">
        <v>4.3</v>
      </c>
      <c r="H82" s="39">
        <v>0.9</v>
      </c>
      <c r="I82" s="1">
        <v>2.7</v>
      </c>
      <c r="J82" s="1">
        <v>2.4</v>
      </c>
    </row>
    <row r="83" spans="1:10" hidden="1" outlineLevel="1" x14ac:dyDescent="0.25">
      <c r="A83" s="20">
        <v>2016</v>
      </c>
      <c r="B83" s="17">
        <v>38.9</v>
      </c>
      <c r="C83" s="17">
        <v>2.5</v>
      </c>
      <c r="D83" s="17">
        <v>2.2000000000000002</v>
      </c>
      <c r="E83" s="17">
        <v>0.7</v>
      </c>
      <c r="F83" s="17"/>
      <c r="G83" s="17">
        <v>3.6</v>
      </c>
      <c r="H83" s="34">
        <v>1</v>
      </c>
      <c r="I83" s="17">
        <v>2.8</v>
      </c>
      <c r="J83" s="17">
        <v>2.1</v>
      </c>
    </row>
    <row r="84" spans="1:10" hidden="1" outlineLevel="1" x14ac:dyDescent="0.25">
      <c r="A84" s="20">
        <v>2017</v>
      </c>
      <c r="B84" s="17">
        <v>37.4</v>
      </c>
      <c r="C84" s="17">
        <v>2.6</v>
      </c>
      <c r="D84" s="17">
        <v>2.6</v>
      </c>
      <c r="E84" s="17">
        <v>0.7</v>
      </c>
      <c r="F84" s="17"/>
      <c r="G84" s="34">
        <v>4</v>
      </c>
      <c r="H84" s="17">
        <v>1.1000000000000001</v>
      </c>
      <c r="I84" s="17">
        <v>2.6</v>
      </c>
      <c r="J84" s="17">
        <v>2.6</v>
      </c>
    </row>
    <row r="85" spans="1:10" hidden="1" outlineLevel="1" x14ac:dyDescent="0.25">
      <c r="A85" s="20">
        <v>2018</v>
      </c>
      <c r="B85" s="17">
        <v>35.9</v>
      </c>
      <c r="C85" s="17">
        <v>2.6</v>
      </c>
      <c r="D85" s="17">
        <v>2.8</v>
      </c>
      <c r="E85" s="17">
        <v>0.8</v>
      </c>
      <c r="F85" s="17"/>
      <c r="G85" s="17">
        <v>3.9</v>
      </c>
      <c r="H85" s="17">
        <v>1.1000000000000001</v>
      </c>
      <c r="I85" s="17">
        <v>2.4</v>
      </c>
      <c r="J85" s="17">
        <v>3.5</v>
      </c>
    </row>
    <row r="86" spans="1:10" hidden="1" outlineLevel="1" x14ac:dyDescent="0.25">
      <c r="A86" s="20">
        <v>2019</v>
      </c>
      <c r="B86" s="34">
        <v>35</v>
      </c>
      <c r="C86" s="17">
        <v>2.8</v>
      </c>
      <c r="D86" s="17">
        <v>2.9</v>
      </c>
      <c r="E86" s="17">
        <v>0.6</v>
      </c>
      <c r="F86" s="17"/>
      <c r="G86" s="17">
        <v>4.0999999999999996</v>
      </c>
      <c r="H86" s="17">
        <v>1.3</v>
      </c>
      <c r="I86" s="17">
        <v>2.2000000000000002</v>
      </c>
      <c r="J86" s="17">
        <v>3.2</v>
      </c>
    </row>
    <row r="87" spans="1:10" collapsed="1" x14ac:dyDescent="0.25">
      <c r="A87" s="20">
        <v>2020</v>
      </c>
      <c r="B87" s="17">
        <v>35.5</v>
      </c>
      <c r="C87" s="17">
        <v>2.8</v>
      </c>
      <c r="D87" s="17">
        <v>2.8</v>
      </c>
      <c r="E87" s="17">
        <v>0.6</v>
      </c>
      <c r="F87" s="17"/>
      <c r="G87" s="17">
        <v>4.4000000000000004</v>
      </c>
      <c r="H87" s="17">
        <v>1.3</v>
      </c>
      <c r="I87" s="34">
        <v>2</v>
      </c>
      <c r="J87" s="17">
        <v>3.1</v>
      </c>
    </row>
    <row r="88" spans="1:10" x14ac:dyDescent="0.25">
      <c r="A88" s="20">
        <v>2021</v>
      </c>
      <c r="B88" s="17">
        <v>34.299999999999997</v>
      </c>
      <c r="C88" s="17">
        <v>2.5</v>
      </c>
      <c r="D88" s="17">
        <v>2.8</v>
      </c>
      <c r="E88" s="17"/>
      <c r="F88" s="17">
        <v>0.2</v>
      </c>
      <c r="G88" s="17">
        <v>4.4000000000000004</v>
      </c>
      <c r="H88" s="17">
        <v>1.4</v>
      </c>
      <c r="I88" s="17"/>
      <c r="J88" s="17">
        <v>3.8</v>
      </c>
    </row>
    <row r="89" spans="1:10" x14ac:dyDescent="0.25">
      <c r="A89" s="43">
        <v>2022</v>
      </c>
      <c r="B89" s="17">
        <v>32.5</v>
      </c>
      <c r="C89" s="17">
        <v>2.7</v>
      </c>
      <c r="D89" s="17">
        <v>2.9</v>
      </c>
      <c r="E89" s="17"/>
      <c r="F89" s="17">
        <v>0.2</v>
      </c>
      <c r="G89" s="17">
        <v>4.5999999999999996</v>
      </c>
      <c r="H89" s="17">
        <v>1.6</v>
      </c>
      <c r="I89" s="17"/>
      <c r="J89" s="17">
        <v>3.6</v>
      </c>
    </row>
    <row r="90" spans="1:10" x14ac:dyDescent="0.25">
      <c r="A90" s="20">
        <v>2023</v>
      </c>
      <c r="B90" s="17">
        <v>33.200000000000003</v>
      </c>
      <c r="C90" s="34">
        <v>3</v>
      </c>
      <c r="D90" s="17">
        <v>2.9</v>
      </c>
      <c r="E90" s="17"/>
      <c r="F90" s="17">
        <v>0.2</v>
      </c>
      <c r="G90" s="17">
        <v>4.7</v>
      </c>
      <c r="H90" s="17">
        <v>1.3</v>
      </c>
      <c r="I90" s="17"/>
      <c r="J90" s="17">
        <v>3.2</v>
      </c>
    </row>
    <row r="91" spans="1:10" x14ac:dyDescent="0.25">
      <c r="A91" s="20">
        <v>2024</v>
      </c>
      <c r="B91" s="17">
        <v>32.799999999999997</v>
      </c>
      <c r="C91" s="17">
        <v>2.8</v>
      </c>
      <c r="D91" s="17">
        <v>2.7</v>
      </c>
      <c r="E91" s="17"/>
      <c r="F91" s="17">
        <v>0.2</v>
      </c>
      <c r="G91" s="17">
        <v>4.7</v>
      </c>
      <c r="H91" s="17">
        <v>1.3</v>
      </c>
      <c r="I91" s="17"/>
      <c r="J91" s="17">
        <v>2.9</v>
      </c>
    </row>
    <row r="92" spans="1:10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107" spans="1:20" s="3" customFormat="1" ht="5.25" customHeight="1" x14ac:dyDescent="0.25">
      <c r="T107" s="4"/>
    </row>
    <row r="109" spans="1:20" x14ac:dyDescent="0.25">
      <c r="A109" s="28"/>
      <c r="B109" s="28" t="s">
        <v>0</v>
      </c>
      <c r="C109" s="28" t="s">
        <v>2</v>
      </c>
      <c r="D109" s="28" t="s">
        <v>3</v>
      </c>
      <c r="E109" s="28" t="s">
        <v>4</v>
      </c>
      <c r="F109" s="28" t="s">
        <v>5</v>
      </c>
      <c r="G109" s="28" t="s">
        <v>1</v>
      </c>
      <c r="H109" s="28" t="s">
        <v>6</v>
      </c>
      <c r="I109" s="28" t="s">
        <v>7</v>
      </c>
      <c r="J109" s="9"/>
      <c r="K109" s="9"/>
    </row>
    <row r="110" spans="1:20" x14ac:dyDescent="0.25">
      <c r="A110" s="18">
        <v>2001</v>
      </c>
      <c r="B110" s="23">
        <v>116.35599999999999</v>
      </c>
      <c r="C110" s="23">
        <v>116.48</v>
      </c>
      <c r="D110" s="23">
        <v>122.11</v>
      </c>
      <c r="E110" s="23">
        <v>97.23</v>
      </c>
      <c r="F110" s="23">
        <v>99.22</v>
      </c>
      <c r="G110" s="23">
        <v>110.49299999999999</v>
      </c>
      <c r="H110" s="23">
        <v>112.371</v>
      </c>
      <c r="I110" s="23">
        <v>80.146000000000001</v>
      </c>
      <c r="J110" s="6"/>
      <c r="K110" s="6"/>
    </row>
    <row r="111" spans="1:20" hidden="1" outlineLevel="1" x14ac:dyDescent="0.25">
      <c r="A111" s="18">
        <v>2002</v>
      </c>
      <c r="B111" s="23">
        <v>128.672</v>
      </c>
      <c r="C111" s="23">
        <v>134.99</v>
      </c>
      <c r="D111" s="23">
        <v>146.11000000000001</v>
      </c>
      <c r="E111" s="23">
        <v>114.45399999999999</v>
      </c>
      <c r="F111" s="23">
        <v>59.2</v>
      </c>
      <c r="G111" s="23">
        <v>110.051</v>
      </c>
      <c r="H111" s="23">
        <v>117.16500000000001</v>
      </c>
      <c r="I111" s="23">
        <v>100.971</v>
      </c>
      <c r="J111" s="6"/>
      <c r="K111" s="6"/>
    </row>
    <row r="112" spans="1:20" hidden="1" outlineLevel="1" x14ac:dyDescent="0.25">
      <c r="A112" s="18" t="s">
        <v>8</v>
      </c>
      <c r="B112" s="23">
        <v>146.68</v>
      </c>
      <c r="C112" s="23">
        <v>147.37</v>
      </c>
      <c r="D112" s="23">
        <v>158.4</v>
      </c>
      <c r="E112" s="23">
        <v>115.79</v>
      </c>
      <c r="F112" s="23">
        <v>72.8</v>
      </c>
      <c r="G112" s="23">
        <v>145.20429799999999</v>
      </c>
      <c r="H112" s="23">
        <v>172.34399999999999</v>
      </c>
      <c r="I112" s="23">
        <v>91.126999999999995</v>
      </c>
      <c r="J112" s="6"/>
      <c r="K112" s="6"/>
    </row>
    <row r="113" spans="1:11" hidden="1" outlineLevel="1" x14ac:dyDescent="0.25">
      <c r="A113" s="18" t="s">
        <v>9</v>
      </c>
      <c r="B113" s="23">
        <v>178.6</v>
      </c>
      <c r="C113" s="23">
        <v>169.8</v>
      </c>
      <c r="D113" s="23">
        <v>193.52</v>
      </c>
      <c r="E113" s="23">
        <v>137.13</v>
      </c>
      <c r="F113" s="23">
        <v>83.34</v>
      </c>
      <c r="G113" s="23">
        <v>218.35599999999999</v>
      </c>
      <c r="H113" s="23">
        <v>202.42699999999999</v>
      </c>
      <c r="I113" s="23">
        <v>172.244</v>
      </c>
      <c r="J113" s="6"/>
      <c r="K113" s="6"/>
    </row>
    <row r="114" spans="1:11" collapsed="1" x14ac:dyDescent="0.25">
      <c r="A114" s="29" t="s">
        <v>10</v>
      </c>
      <c r="B114" s="23">
        <v>211.91</v>
      </c>
      <c r="C114" s="23">
        <v>204.65</v>
      </c>
      <c r="D114" s="23">
        <v>248.06</v>
      </c>
      <c r="E114" s="23">
        <v>146.93</v>
      </c>
      <c r="F114" s="23">
        <v>72.17</v>
      </c>
      <c r="G114" s="23">
        <v>232.154</v>
      </c>
      <c r="H114" s="23">
        <v>222.47800000000001</v>
      </c>
      <c r="I114" s="23">
        <v>223.148</v>
      </c>
      <c r="J114" s="6"/>
      <c r="K114" s="6"/>
    </row>
    <row r="115" spans="1:11" hidden="1" outlineLevel="1" x14ac:dyDescent="0.25">
      <c r="A115" s="30">
        <v>2006</v>
      </c>
      <c r="B115" s="23">
        <v>248.88</v>
      </c>
      <c r="C115" s="23">
        <v>233.21</v>
      </c>
      <c r="D115" s="23">
        <v>257.75</v>
      </c>
      <c r="E115" s="23">
        <v>160.47</v>
      </c>
      <c r="F115" s="23">
        <v>43.03</v>
      </c>
      <c r="G115" s="23">
        <v>286.77</v>
      </c>
      <c r="H115" s="23">
        <v>252.124</v>
      </c>
      <c r="I115" s="23">
        <v>638.17100000000005</v>
      </c>
      <c r="J115" s="6"/>
      <c r="K115" s="6"/>
    </row>
    <row r="116" spans="1:11" hidden="1" outlineLevel="1" x14ac:dyDescent="0.25">
      <c r="A116" s="30">
        <v>2007</v>
      </c>
      <c r="B116" s="23">
        <v>292.68</v>
      </c>
      <c r="C116" s="23">
        <v>268.55</v>
      </c>
      <c r="D116" s="23">
        <v>285.98</v>
      </c>
      <c r="E116" s="23">
        <v>154.99</v>
      </c>
      <c r="F116" s="23">
        <v>45.84</v>
      </c>
      <c r="G116" s="23">
        <v>337.57900000000001</v>
      </c>
      <c r="H116" s="23">
        <v>294.16800000000001</v>
      </c>
      <c r="I116" s="23">
        <v>687.49699999999996</v>
      </c>
      <c r="J116" s="6"/>
      <c r="K116" s="6"/>
    </row>
    <row r="117" spans="1:11" hidden="1" outlineLevel="1" x14ac:dyDescent="0.25">
      <c r="A117" s="30">
        <v>2008</v>
      </c>
      <c r="B117" s="23">
        <v>302.45999999999998</v>
      </c>
      <c r="C117" s="23">
        <v>274.32</v>
      </c>
      <c r="D117" s="23">
        <v>321.33</v>
      </c>
      <c r="E117" s="23">
        <v>151.58000000000001</v>
      </c>
      <c r="F117" s="23">
        <v>56.17</v>
      </c>
      <c r="G117" s="23">
        <v>367.74</v>
      </c>
      <c r="H117" s="23">
        <v>267.48599999999999</v>
      </c>
      <c r="I117" s="23">
        <v>1262.2550000000001</v>
      </c>
      <c r="J117" s="6"/>
      <c r="K117" s="6"/>
    </row>
    <row r="118" spans="1:11" hidden="1" outlineLevel="1" x14ac:dyDescent="0.25">
      <c r="A118" s="20">
        <v>2009</v>
      </c>
      <c r="B118" s="23">
        <v>221.29</v>
      </c>
      <c r="C118" s="23">
        <v>191.68</v>
      </c>
      <c r="D118" s="23">
        <v>214.57</v>
      </c>
      <c r="E118" s="23">
        <v>110.31</v>
      </c>
      <c r="F118" s="23">
        <v>49.29</v>
      </c>
      <c r="G118" s="23">
        <v>221.071</v>
      </c>
      <c r="H118" s="23">
        <v>161.154</v>
      </c>
      <c r="I118" s="23">
        <v>1245.922</v>
      </c>
      <c r="J118" s="6"/>
      <c r="K118" s="6"/>
    </row>
    <row r="119" spans="1:11" collapsed="1" x14ac:dyDescent="0.25">
      <c r="A119" s="20">
        <v>2010</v>
      </c>
      <c r="B119" s="31">
        <v>262.00900000000001</v>
      </c>
      <c r="C119" s="31">
        <v>228.07499999999999</v>
      </c>
      <c r="D119" s="31">
        <v>238.321</v>
      </c>
      <c r="E119" s="31">
        <v>130.809</v>
      </c>
      <c r="F119" s="31">
        <v>55.987000000000002</v>
      </c>
      <c r="G119" s="23">
        <v>297.22199999999998</v>
      </c>
      <c r="H119" s="23">
        <v>177.376</v>
      </c>
      <c r="I119" s="23">
        <v>1169.549</v>
      </c>
    </row>
    <row r="120" spans="1:11" hidden="1" outlineLevel="1" x14ac:dyDescent="0.25">
      <c r="A120" s="20">
        <v>2011</v>
      </c>
      <c r="B120" s="31">
        <v>305.19941399999999</v>
      </c>
      <c r="C120" s="31">
        <v>263.03146600000002</v>
      </c>
      <c r="D120" s="31">
        <v>289.99709000000001</v>
      </c>
      <c r="E120" s="31">
        <v>172.30826999999999</v>
      </c>
      <c r="F120" s="31">
        <v>52.142052999999997</v>
      </c>
      <c r="G120" s="31">
        <v>307.16888</v>
      </c>
      <c r="H120" s="31">
        <v>234.41674</v>
      </c>
      <c r="I120" s="31">
        <v>1750.0989</v>
      </c>
    </row>
    <row r="121" spans="1:11" hidden="1" outlineLevel="1" x14ac:dyDescent="0.25">
      <c r="A121" s="20">
        <v>2012</v>
      </c>
      <c r="B121" s="31">
        <v>341.5</v>
      </c>
      <c r="C121" s="31">
        <v>287.2</v>
      </c>
      <c r="D121" s="31">
        <v>318.10000000000002</v>
      </c>
      <c r="E121" s="31">
        <v>207.7</v>
      </c>
      <c r="F121" s="31">
        <v>52.8</v>
      </c>
      <c r="G121" s="31">
        <v>397.4</v>
      </c>
      <c r="H121" s="31">
        <v>230.6</v>
      </c>
      <c r="I121" s="31">
        <v>2272.6999999999998</v>
      </c>
    </row>
    <row r="122" spans="1:11" hidden="1" outlineLevel="1" x14ac:dyDescent="0.25">
      <c r="A122" s="20">
        <v>2013</v>
      </c>
      <c r="B122" s="31">
        <v>337.7</v>
      </c>
      <c r="C122" s="31">
        <v>301.5</v>
      </c>
      <c r="D122" s="31">
        <v>306.89999999999998</v>
      </c>
      <c r="E122" s="31">
        <v>237.8</v>
      </c>
      <c r="F122" s="31">
        <v>61.8</v>
      </c>
      <c r="G122" s="31">
        <v>186.3</v>
      </c>
      <c r="H122" s="31">
        <v>204.74</v>
      </c>
      <c r="I122" s="31">
        <v>1866.4</v>
      </c>
      <c r="J122" s="32"/>
    </row>
    <row r="123" spans="1:11" hidden="1" outlineLevel="1" x14ac:dyDescent="0.25">
      <c r="A123" s="20">
        <v>2014</v>
      </c>
      <c r="B123" s="31">
        <v>335.9</v>
      </c>
      <c r="C123" s="31">
        <v>278.2</v>
      </c>
      <c r="D123" s="31">
        <v>305.3</v>
      </c>
      <c r="E123" s="31">
        <v>223.6</v>
      </c>
      <c r="F123" s="31">
        <v>63.2</v>
      </c>
      <c r="G123" s="31">
        <v>134.80000000000001</v>
      </c>
      <c r="H123" s="31">
        <v>240.8</v>
      </c>
      <c r="I123" s="31">
        <v>2139.6</v>
      </c>
      <c r="J123" s="32"/>
    </row>
    <row r="124" spans="1:11" collapsed="1" x14ac:dyDescent="0.25">
      <c r="A124" s="20">
        <v>2015</v>
      </c>
      <c r="B124" s="26">
        <v>336</v>
      </c>
      <c r="C124" s="26">
        <v>275</v>
      </c>
      <c r="D124" s="31">
        <v>293.39999999999998</v>
      </c>
      <c r="E124" s="26">
        <v>230</v>
      </c>
      <c r="F124" s="26"/>
      <c r="G124" s="26">
        <v>167</v>
      </c>
      <c r="H124" s="31">
        <v>266.60000000000002</v>
      </c>
      <c r="I124" s="31">
        <v>2009.7</v>
      </c>
    </row>
    <row r="125" spans="1:11" hidden="1" outlineLevel="1" x14ac:dyDescent="0.25">
      <c r="A125" s="20">
        <v>2016</v>
      </c>
      <c r="B125" s="31">
        <v>343.7</v>
      </c>
      <c r="C125" s="31">
        <v>281.89999999999998</v>
      </c>
      <c r="D125" s="31">
        <v>290.89999999999998</v>
      </c>
      <c r="E125" s="31">
        <v>243.9</v>
      </c>
      <c r="F125" s="31"/>
      <c r="G125" s="31">
        <v>142.5</v>
      </c>
      <c r="H125" s="31">
        <v>247.4</v>
      </c>
      <c r="I125" s="31">
        <v>1805.4</v>
      </c>
    </row>
    <row r="126" spans="1:11" hidden="1" outlineLevel="1" x14ac:dyDescent="0.25">
      <c r="A126" s="20">
        <v>2017</v>
      </c>
      <c r="B126" s="31">
        <v>384.4</v>
      </c>
      <c r="C126" s="31">
        <v>303</v>
      </c>
      <c r="D126" s="31">
        <v>342.8</v>
      </c>
      <c r="E126" s="31">
        <v>316.89999999999998</v>
      </c>
      <c r="F126" s="31"/>
      <c r="G126" s="31">
        <v>177.2</v>
      </c>
      <c r="H126" s="31">
        <v>309.5</v>
      </c>
      <c r="I126" s="31">
        <v>2484.6</v>
      </c>
    </row>
    <row r="127" spans="1:11" hidden="1" outlineLevel="1" x14ac:dyDescent="0.25">
      <c r="A127" s="20">
        <v>2018</v>
      </c>
      <c r="B127" s="31">
        <v>414.8</v>
      </c>
      <c r="C127" s="31">
        <v>313.7</v>
      </c>
      <c r="D127" s="31">
        <v>376.8</v>
      </c>
      <c r="E127" s="31">
        <v>361.5</v>
      </c>
      <c r="F127" s="31"/>
      <c r="G127" s="31">
        <v>184.6</v>
      </c>
      <c r="H127" s="31">
        <v>354.5</v>
      </c>
      <c r="I127" s="31">
        <v>3627.3</v>
      </c>
    </row>
    <row r="128" spans="1:11" hidden="1" outlineLevel="1" x14ac:dyDescent="0.25">
      <c r="A128" s="20">
        <v>2019</v>
      </c>
      <c r="B128" s="31">
        <v>430</v>
      </c>
      <c r="C128" s="31">
        <v>317.3</v>
      </c>
      <c r="D128" s="31">
        <v>412.7</v>
      </c>
      <c r="E128" s="31">
        <v>394.2</v>
      </c>
      <c r="F128" s="31"/>
      <c r="G128" s="31">
        <v>203.6</v>
      </c>
      <c r="H128" s="31">
        <v>401.9</v>
      </c>
      <c r="I128" s="31">
        <v>3479.4</v>
      </c>
    </row>
    <row r="129" spans="1:10" collapsed="1" x14ac:dyDescent="0.25">
      <c r="A129" s="20">
        <v>2020</v>
      </c>
      <c r="B129" s="31">
        <v>435.9</v>
      </c>
      <c r="C129" s="31">
        <v>325.8</v>
      </c>
      <c r="D129" s="31">
        <v>416.2</v>
      </c>
      <c r="E129" s="31">
        <v>387.8</v>
      </c>
      <c r="F129" s="31"/>
      <c r="G129" s="31">
        <v>221.1</v>
      </c>
      <c r="H129" s="31">
        <v>432.7</v>
      </c>
      <c r="I129" s="31">
        <v>3436.5</v>
      </c>
    </row>
    <row r="130" spans="1:10" x14ac:dyDescent="0.25">
      <c r="A130" s="20">
        <v>2021</v>
      </c>
      <c r="B130" s="31">
        <v>528.1</v>
      </c>
      <c r="C130" s="31">
        <v>382</v>
      </c>
      <c r="D130" s="31">
        <v>451.6</v>
      </c>
      <c r="E130" s="31">
        <v>462.6</v>
      </c>
      <c r="F130" s="31"/>
      <c r="G130" s="31">
        <v>268.8</v>
      </c>
      <c r="H130" s="31">
        <v>531.9</v>
      </c>
      <c r="I130" s="31">
        <v>5089.2</v>
      </c>
      <c r="J130" s="32"/>
    </row>
    <row r="131" spans="1:10" x14ac:dyDescent="0.25">
      <c r="A131" s="20">
        <v>2022</v>
      </c>
      <c r="B131" s="26">
        <v>627</v>
      </c>
      <c r="C131" s="26">
        <v>429</v>
      </c>
      <c r="D131" s="26">
        <v>574</v>
      </c>
      <c r="E131" s="26">
        <v>568</v>
      </c>
      <c r="F131" s="26"/>
      <c r="G131" s="26">
        <v>334</v>
      </c>
      <c r="H131" s="26">
        <v>753</v>
      </c>
      <c r="I131" s="26">
        <v>5690</v>
      </c>
    </row>
    <row r="132" spans="1:10" x14ac:dyDescent="0.25">
      <c r="A132" s="20">
        <v>2023</v>
      </c>
      <c r="B132" s="31">
        <v>606.5</v>
      </c>
      <c r="C132" s="31">
        <v>424.1</v>
      </c>
      <c r="D132" s="31">
        <v>635</v>
      </c>
      <c r="E132" s="31">
        <v>565.1</v>
      </c>
      <c r="F132" s="31">
        <v>75.3</v>
      </c>
      <c r="G132" s="31">
        <v>330.5</v>
      </c>
      <c r="H132" s="31">
        <v>567.79999999999995</v>
      </c>
      <c r="I132" s="31">
        <v>4963.3999999999996</v>
      </c>
    </row>
    <row r="133" spans="1:10" x14ac:dyDescent="0.25">
      <c r="A133" s="20">
        <v>2024</v>
      </c>
      <c r="B133" s="26">
        <v>583</v>
      </c>
      <c r="C133" s="26">
        <v>403</v>
      </c>
      <c r="D133" s="26">
        <v>558</v>
      </c>
      <c r="E133" s="26">
        <v>490</v>
      </c>
      <c r="F133" s="26">
        <v>72</v>
      </c>
      <c r="G133" s="26">
        <v>313</v>
      </c>
      <c r="H133" s="26">
        <v>565</v>
      </c>
      <c r="I133" s="26">
        <v>4323</v>
      </c>
    </row>
    <row r="149" spans="1:20" s="3" customFormat="1" ht="5.25" customHeight="1" x14ac:dyDescent="0.25">
      <c r="T149" s="4"/>
    </row>
    <row r="151" spans="1:20" x14ac:dyDescent="0.25">
      <c r="A151" s="28"/>
      <c r="B151" s="28" t="s">
        <v>0</v>
      </c>
      <c r="C151" s="28" t="s">
        <v>2</v>
      </c>
      <c r="D151" s="28" t="s">
        <v>3</v>
      </c>
      <c r="E151" s="28" t="s">
        <v>4</v>
      </c>
      <c r="F151" s="17" t="s">
        <v>11</v>
      </c>
      <c r="G151" s="35" t="s">
        <v>5</v>
      </c>
      <c r="H151" s="28" t="s">
        <v>1</v>
      </c>
      <c r="I151" s="28" t="s">
        <v>6</v>
      </c>
      <c r="J151" s="17" t="s">
        <v>12</v>
      </c>
      <c r="K151" s="28" t="s">
        <v>7</v>
      </c>
    </row>
    <row r="152" spans="1:20" x14ac:dyDescent="0.25">
      <c r="A152" s="18">
        <v>2000</v>
      </c>
      <c r="B152" s="47">
        <f>525/0.702804</f>
        <v>747.00770058223918</v>
      </c>
      <c r="C152" s="47">
        <f>776/0.702804</f>
        <v>1104.1485250510812</v>
      </c>
      <c r="D152" s="47">
        <f>306/0.702804</f>
        <v>435.39877405364797</v>
      </c>
      <c r="E152" s="47">
        <f>318/0.702804</f>
        <v>452.47323578124201</v>
      </c>
      <c r="F152" s="48"/>
      <c r="G152" s="49">
        <f>312/0.702804</f>
        <v>443.93600491744496</v>
      </c>
      <c r="H152" s="47">
        <f>1206/0.702804</f>
        <v>1715.9834036232007</v>
      </c>
      <c r="I152" s="47">
        <f>432/0.702804</f>
        <v>614.68062219338537</v>
      </c>
      <c r="J152" s="48"/>
      <c r="K152" s="47">
        <f>112/0.702804</f>
        <v>159.36164279087768</v>
      </c>
    </row>
    <row r="153" spans="1:20" hidden="1" outlineLevel="1" x14ac:dyDescent="0.25">
      <c r="A153" s="18">
        <v>2001</v>
      </c>
      <c r="B153" s="47">
        <f>615.6243/0.702804</f>
        <v>875.95446241057243</v>
      </c>
      <c r="C153" s="47">
        <f>917.3148/0.7028074</f>
        <v>1305.2150560736839</v>
      </c>
      <c r="D153" s="47">
        <f>388.7046/0.702804</f>
        <v>553.0768180033125</v>
      </c>
      <c r="E153" s="47">
        <f>578.5384/0.702804</f>
        <v>823.18598072862426</v>
      </c>
      <c r="F153" s="48"/>
      <c r="G153" s="49">
        <f>312.2687/0.702804</f>
        <v>444.31833057296205</v>
      </c>
      <c r="H153" s="47">
        <f>1357.5567/0.702804</f>
        <v>1931.6291597657385</v>
      </c>
      <c r="I153" s="47">
        <f>492.9679/0.702804</f>
        <v>701.43012845686701</v>
      </c>
      <c r="J153" s="48"/>
      <c r="K153" s="47">
        <f>89.2942/0.702804</f>
        <v>127.05420003301063</v>
      </c>
    </row>
    <row r="154" spans="1:20" hidden="1" outlineLevel="1" x14ac:dyDescent="0.25">
      <c r="A154" s="18">
        <v>2002</v>
      </c>
      <c r="B154" s="47">
        <f>677.2355/0.702804</f>
        <v>963.61930210983439</v>
      </c>
      <c r="C154" s="47">
        <f>1075.6555/0.702804</f>
        <v>1530.5198889021692</v>
      </c>
      <c r="D154" s="47">
        <f>468.38/0.702804</f>
        <v>666.44469866420798</v>
      </c>
      <c r="E154" s="47">
        <f>685.5755/0.702804</f>
        <v>975.48605301051225</v>
      </c>
      <c r="F154" s="48"/>
      <c r="G154" s="49">
        <f>186.8863/0.702804</f>
        <v>265.91524806347149</v>
      </c>
      <c r="H154" s="47">
        <f>1360.2138/0.702804</f>
        <v>1935.409872453771</v>
      </c>
      <c r="I154" s="47">
        <f>517.7701/0.702804</f>
        <v>736.72047967854473</v>
      </c>
      <c r="J154" s="48"/>
      <c r="K154" s="47">
        <f>112.4813/0.702804</f>
        <v>160.04647099333528</v>
      </c>
    </row>
    <row r="155" spans="1:20" hidden="1" outlineLevel="1" x14ac:dyDescent="0.25">
      <c r="A155" s="18">
        <v>2003</v>
      </c>
      <c r="B155" s="47">
        <f>784.9325/0.702804</f>
        <v>1116.858327499559</v>
      </c>
      <c r="C155" s="47">
        <f>1180.6772/0.7028074</f>
        <v>1679.9441781631783</v>
      </c>
      <c r="D155" s="47">
        <f>514.07/0.702804</f>
        <v>731.45571169202231</v>
      </c>
      <c r="E155" s="47">
        <f>725.1286/0.702804</f>
        <v>1031.7650440236539</v>
      </c>
      <c r="F155" s="48"/>
      <c r="G155" s="49">
        <f>228.6175/0.702804</f>
        <v>325.29339616735251</v>
      </c>
      <c r="H155" s="47">
        <f>1805.2627/0.702804</f>
        <v>2568.6574066169233</v>
      </c>
      <c r="I155" s="47">
        <f>772.9468/0.702804</f>
        <v>1099.804212838857</v>
      </c>
      <c r="J155" s="48"/>
      <c r="K155" s="47">
        <f>101.2395/0.702804</f>
        <v>144.05083067256305</v>
      </c>
    </row>
    <row r="156" spans="1:20" hidden="1" outlineLevel="1" x14ac:dyDescent="0.25">
      <c r="A156" s="17" t="s">
        <v>9</v>
      </c>
      <c r="B156" s="47">
        <f>961.0459/0.702804</f>
        <v>1367.4451198342638</v>
      </c>
      <c r="C156" s="47">
        <f>1366.8786/0.702804</f>
        <v>1944.8930284972766</v>
      </c>
      <c r="D156" s="47">
        <f>632.9021/0.702804</f>
        <v>900.53855698032453</v>
      </c>
      <c r="E156" s="47">
        <f>813.3649/0.702804</f>
        <v>1157.313987968196</v>
      </c>
      <c r="F156" s="48"/>
      <c r="G156" s="49">
        <f>260.9859/0.702804</f>
        <v>371.34948008264041</v>
      </c>
      <c r="H156" s="47">
        <f>2721.3983/0.702804</f>
        <v>3872.2009265741231</v>
      </c>
      <c r="I156" s="47">
        <f>918.3543/0.702804</f>
        <v>1306.7004456434511</v>
      </c>
      <c r="J156" s="48"/>
      <c r="K156" s="47">
        <f>191.8486/0.7002804</f>
        <v>273.95968814777621</v>
      </c>
    </row>
    <row r="157" spans="1:20" collapsed="1" x14ac:dyDescent="0.25">
      <c r="A157" s="17" t="s">
        <v>10</v>
      </c>
      <c r="B157" s="47">
        <v>1680</v>
      </c>
      <c r="C157" s="47">
        <v>2427</v>
      </c>
      <c r="D157" s="47">
        <v>1209</v>
      </c>
      <c r="E157" s="47">
        <v>1294</v>
      </c>
      <c r="F157" s="48"/>
      <c r="G157" s="49">
        <v>337</v>
      </c>
      <c r="H157" s="47">
        <v>4277</v>
      </c>
      <c r="I157" s="47">
        <v>1469</v>
      </c>
      <c r="J157" s="48"/>
      <c r="K157" s="47">
        <v>368</v>
      </c>
    </row>
    <row r="158" spans="1:20" hidden="1" outlineLevel="1" x14ac:dyDescent="0.25">
      <c r="A158" s="20">
        <v>2006</v>
      </c>
      <c r="B158" s="47">
        <v>1990</v>
      </c>
      <c r="C158" s="47">
        <v>2782</v>
      </c>
      <c r="D158" s="47">
        <v>1282</v>
      </c>
      <c r="E158" s="47">
        <v>1417</v>
      </c>
      <c r="F158" s="48"/>
      <c r="G158" s="49">
        <v>202</v>
      </c>
      <c r="H158" s="47">
        <v>5323</v>
      </c>
      <c r="I158" s="47">
        <v>1684</v>
      </c>
      <c r="J158" s="48"/>
      <c r="K158" s="47">
        <v>1064</v>
      </c>
    </row>
    <row r="159" spans="1:20" hidden="1" outlineLevel="1" x14ac:dyDescent="0.25">
      <c r="A159" s="20">
        <v>2007</v>
      </c>
      <c r="B159" s="47">
        <v>2358</v>
      </c>
      <c r="C159" s="47">
        <v>3228</v>
      </c>
      <c r="D159" s="47">
        <v>1444</v>
      </c>
      <c r="E159" s="47">
        <v>1377</v>
      </c>
      <c r="F159" s="48"/>
      <c r="G159" s="49">
        <v>215</v>
      </c>
      <c r="H159" s="47">
        <v>6317</v>
      </c>
      <c r="I159" s="47">
        <v>1989</v>
      </c>
      <c r="J159" s="48"/>
      <c r="K159" s="47">
        <v>1161</v>
      </c>
    </row>
    <row r="160" spans="1:20" hidden="1" outlineLevel="1" x14ac:dyDescent="0.25">
      <c r="A160" s="24">
        <v>2008</v>
      </c>
      <c r="B160" s="47">
        <v>2470</v>
      </c>
      <c r="C160" s="47">
        <v>3345</v>
      </c>
      <c r="D160" s="47">
        <v>1673</v>
      </c>
      <c r="E160" s="47">
        <v>1356</v>
      </c>
      <c r="F160" s="48"/>
      <c r="G160" s="49">
        <v>265</v>
      </c>
      <c r="H160" s="47">
        <v>6973</v>
      </c>
      <c r="I160" s="47">
        <v>1845</v>
      </c>
      <c r="J160" s="48"/>
      <c r="K160" s="47">
        <v>2165</v>
      </c>
    </row>
    <row r="161" spans="1:11" hidden="1" outlineLevel="1" x14ac:dyDescent="0.25">
      <c r="A161" s="20">
        <v>2009</v>
      </c>
      <c r="B161" s="47">
        <v>1842</v>
      </c>
      <c r="C161" s="47">
        <v>2386</v>
      </c>
      <c r="D161" s="47">
        <v>1149</v>
      </c>
      <c r="E161" s="47">
        <v>1011</v>
      </c>
      <c r="F161" s="48"/>
      <c r="G161" s="49">
        <v>236</v>
      </c>
      <c r="H161" s="47">
        <v>4286</v>
      </c>
      <c r="I161" s="47">
        <v>1144</v>
      </c>
      <c r="J161" s="48"/>
      <c r="K161" s="47">
        <v>2179</v>
      </c>
    </row>
    <row r="162" spans="1:11" collapsed="1" x14ac:dyDescent="0.25">
      <c r="A162" s="20">
        <v>2010</v>
      </c>
      <c r="B162" s="48">
        <v>2230</v>
      </c>
      <c r="C162" s="48">
        <v>2899</v>
      </c>
      <c r="D162" s="48">
        <v>1309</v>
      </c>
      <c r="E162" s="48">
        <v>1224</v>
      </c>
      <c r="F162" s="48"/>
      <c r="G162" s="50">
        <v>272</v>
      </c>
      <c r="H162" s="48">
        <v>5912</v>
      </c>
      <c r="I162" s="48">
        <v>1224</v>
      </c>
      <c r="J162" s="48"/>
      <c r="K162" s="48">
        <v>2101</v>
      </c>
    </row>
    <row r="163" spans="1:11" hidden="1" outlineLevel="1" x14ac:dyDescent="0.25">
      <c r="A163" s="20">
        <v>2011</v>
      </c>
      <c r="B163" s="48">
        <v>2636</v>
      </c>
      <c r="C163" s="48">
        <v>3392</v>
      </c>
      <c r="D163" s="48">
        <v>1639</v>
      </c>
      <c r="E163" s="48">
        <v>1649</v>
      </c>
      <c r="F163" s="48"/>
      <c r="G163" s="50">
        <v>257</v>
      </c>
      <c r="H163" s="48">
        <v>6281</v>
      </c>
      <c r="I163" s="48">
        <v>1775</v>
      </c>
      <c r="J163" s="48"/>
      <c r="K163" s="48">
        <v>3213</v>
      </c>
    </row>
    <row r="164" spans="1:11" hidden="1" outlineLevel="1" x14ac:dyDescent="0.25">
      <c r="A164" s="20">
        <v>2012</v>
      </c>
      <c r="B164" s="48">
        <v>2980</v>
      </c>
      <c r="C164" s="48">
        <v>3740</v>
      </c>
      <c r="D164" s="48">
        <v>1832</v>
      </c>
      <c r="E164" s="48">
        <v>2007</v>
      </c>
      <c r="F164" s="48"/>
      <c r="G164" s="50">
        <v>259</v>
      </c>
      <c r="H164" s="48">
        <v>8274</v>
      </c>
      <c r="I164" s="48">
        <v>1781</v>
      </c>
      <c r="J164" s="48"/>
      <c r="K164" s="48">
        <v>4246</v>
      </c>
    </row>
    <row r="165" spans="1:11" hidden="1" outlineLevel="1" x14ac:dyDescent="0.25">
      <c r="A165" s="20">
        <v>2013</v>
      </c>
      <c r="B165" s="48">
        <v>2979</v>
      </c>
      <c r="C165" s="48">
        <v>3928</v>
      </c>
      <c r="D165" s="48">
        <v>1804</v>
      </c>
      <c r="E165" s="48">
        <v>2315</v>
      </c>
      <c r="F165" s="48">
        <v>3520</v>
      </c>
      <c r="G165" s="50">
        <v>308</v>
      </c>
      <c r="H165" s="48">
        <v>3963</v>
      </c>
      <c r="I165" s="48">
        <v>1621</v>
      </c>
      <c r="J165" s="48">
        <v>6502</v>
      </c>
      <c r="K165" s="48">
        <v>3550</v>
      </c>
    </row>
    <row r="166" spans="1:11" hidden="1" outlineLevel="1" x14ac:dyDescent="0.25">
      <c r="A166" s="20">
        <v>2014</v>
      </c>
      <c r="B166" s="48">
        <v>2987</v>
      </c>
      <c r="C166" s="48">
        <v>3638</v>
      </c>
      <c r="D166" s="48">
        <v>1814</v>
      </c>
      <c r="E166" s="48">
        <v>2183</v>
      </c>
      <c r="F166" s="48">
        <v>3561</v>
      </c>
      <c r="G166" s="50">
        <v>316</v>
      </c>
      <c r="H166" s="48">
        <v>2899</v>
      </c>
      <c r="I166" s="48">
        <v>1951</v>
      </c>
      <c r="J166" s="48">
        <v>7265</v>
      </c>
      <c r="K166" s="48">
        <v>4115</v>
      </c>
    </row>
    <row r="167" spans="1:11" collapsed="1" x14ac:dyDescent="0.25">
      <c r="A167" s="20">
        <v>2015</v>
      </c>
      <c r="B167" s="48">
        <v>3013.4037462473789</v>
      </c>
      <c r="C167" s="48">
        <v>3610.4015950407138</v>
      </c>
      <c r="D167" s="48">
        <v>1767.2032924512816</v>
      </c>
      <c r="E167" s="48">
        <v>2250.8493294767291</v>
      </c>
      <c r="F167" s="48">
        <v>1640.1144366197184</v>
      </c>
      <c r="G167" s="48"/>
      <c r="H167" s="48">
        <v>3624.1665957386444</v>
      </c>
      <c r="I167" s="48">
        <v>1872.5343538006609</v>
      </c>
      <c r="J167" s="48">
        <v>6962.3719328454581</v>
      </c>
      <c r="K167" s="48">
        <v>1872.5343538006609</v>
      </c>
    </row>
    <row r="168" spans="1:11" hidden="1" outlineLevel="1" x14ac:dyDescent="0.25">
      <c r="A168" s="20">
        <v>2016</v>
      </c>
      <c r="B168" s="48">
        <v>3113</v>
      </c>
      <c r="C168" s="48">
        <v>3683</v>
      </c>
      <c r="D168" s="50">
        <v>1766</v>
      </c>
      <c r="E168" s="48">
        <v>2399</v>
      </c>
      <c r="F168" s="48">
        <v>1879</v>
      </c>
      <c r="G168" s="48"/>
      <c r="H168" s="48">
        <v>3139</v>
      </c>
      <c r="I168" s="48">
        <v>2086</v>
      </c>
      <c r="J168" s="48">
        <v>7409</v>
      </c>
      <c r="K168" s="50">
        <v>3562</v>
      </c>
    </row>
    <row r="169" spans="1:11" hidden="1" outlineLevel="1" x14ac:dyDescent="0.25">
      <c r="A169" s="42">
        <v>2017</v>
      </c>
      <c r="B169" s="48">
        <v>3509</v>
      </c>
      <c r="C169" s="48">
        <v>3981</v>
      </c>
      <c r="D169" s="48">
        <v>2115</v>
      </c>
      <c r="E169" s="48">
        <v>3137</v>
      </c>
      <c r="F169" s="48">
        <v>2151</v>
      </c>
      <c r="G169" s="48"/>
      <c r="H169" s="48">
        <v>3918</v>
      </c>
      <c r="I169" s="48">
        <v>2611</v>
      </c>
      <c r="J169" s="48">
        <v>7796</v>
      </c>
      <c r="K169" s="50">
        <v>4973</v>
      </c>
    </row>
    <row r="170" spans="1:11" hidden="1" outlineLevel="1" x14ac:dyDescent="0.25">
      <c r="A170" s="42">
        <v>2018</v>
      </c>
      <c r="B170" s="48">
        <v>3816</v>
      </c>
      <c r="C170" s="48">
        <v>4156</v>
      </c>
      <c r="D170" s="48">
        <v>2343</v>
      </c>
      <c r="E170" s="48">
        <v>3605</v>
      </c>
      <c r="F170" s="48">
        <v>2522</v>
      </c>
      <c r="G170" s="48"/>
      <c r="H170" s="48">
        <v>4095</v>
      </c>
      <c r="I170" s="48">
        <v>3026</v>
      </c>
      <c r="J170" s="48">
        <v>7581</v>
      </c>
      <c r="K170" s="50">
        <v>7361</v>
      </c>
    </row>
    <row r="171" spans="1:11" hidden="1" outlineLevel="1" x14ac:dyDescent="0.25">
      <c r="A171" s="20">
        <v>2019</v>
      </c>
      <c r="B171" s="48">
        <v>3980.751228589776</v>
      </c>
      <c r="C171" s="48">
        <v>4238.4108356029683</v>
      </c>
      <c r="D171" s="48">
        <v>2583.6018818711455</v>
      </c>
      <c r="E171" s="48">
        <v>3924.6976561663873</v>
      </c>
      <c r="F171" s="48">
        <v>2154.2639547610361</v>
      </c>
      <c r="G171" s="48"/>
      <c r="H171" s="48">
        <v>4545.0324651637848</v>
      </c>
      <c r="I171" s="48">
        <v>3457.5163872089238</v>
      </c>
      <c r="J171" s="48">
        <v>7145.9609544468549</v>
      </c>
      <c r="K171" s="48">
        <v>7158.6474370317937</v>
      </c>
    </row>
    <row r="172" spans="1:11" collapsed="1" x14ac:dyDescent="0.25">
      <c r="A172" s="20">
        <v>2020</v>
      </c>
      <c r="B172" s="48">
        <v>4065.9500227918211</v>
      </c>
      <c r="C172" s="48">
        <v>4442.970105008314</v>
      </c>
      <c r="D172" s="48">
        <v>2651.4157788333932</v>
      </c>
      <c r="E172" s="48">
        <v>3911.6831718953304</v>
      </c>
      <c r="F172" s="48">
        <v>2223.1356049748024</v>
      </c>
      <c r="G172" s="48"/>
      <c r="H172" s="48">
        <v>4977.5116238008359</v>
      </c>
      <c r="I172" s="48">
        <v>3829.6918663139463</v>
      </c>
      <c r="J172" s="48">
        <v>6673.9454094292805</v>
      </c>
      <c r="K172" s="48">
        <v>7183.4352151504254</v>
      </c>
    </row>
    <row r="173" spans="1:11" x14ac:dyDescent="0.25">
      <c r="A173" s="20">
        <v>2021</v>
      </c>
      <c r="B173" s="48">
        <v>4972</v>
      </c>
      <c r="C173" s="48">
        <v>5285</v>
      </c>
      <c r="D173" s="48">
        <v>2932</v>
      </c>
      <c r="E173" s="48">
        <v>4721</v>
      </c>
      <c r="F173" s="48"/>
      <c r="G173" s="48">
        <v>301</v>
      </c>
      <c r="H173" s="48">
        <v>6105</v>
      </c>
      <c r="I173" s="48">
        <v>4772</v>
      </c>
      <c r="J173" s="48"/>
      <c r="K173" s="48">
        <v>10773</v>
      </c>
    </row>
    <row r="174" spans="1:11" x14ac:dyDescent="0.25">
      <c r="A174" s="20">
        <v>2022</v>
      </c>
      <c r="B174" s="31">
        <v>5852.4932310767435</v>
      </c>
      <c r="C174" s="31">
        <v>5920.7828438363567</v>
      </c>
      <c r="D174" s="31">
        <v>3692.4174531253911</v>
      </c>
      <c r="E174" s="31">
        <v>5714.0362901771223</v>
      </c>
      <c r="F174" s="31">
        <v>0</v>
      </c>
      <c r="G174" s="31">
        <v>331.22453822726732</v>
      </c>
      <c r="H174" s="31">
        <v>7462.4503330606522</v>
      </c>
      <c r="I174" s="31">
        <v>6658.5315909006295</v>
      </c>
      <c r="J174" s="31">
        <v>0</v>
      </c>
      <c r="K174" s="31">
        <v>11842.090033113571</v>
      </c>
    </row>
    <row r="175" spans="1:11" x14ac:dyDescent="0.25">
      <c r="A175" s="20">
        <v>2023</v>
      </c>
      <c r="B175" s="31">
        <v>5711.736102075597</v>
      </c>
      <c r="C175" s="31">
        <v>5935.6956529000154</v>
      </c>
      <c r="D175" s="31">
        <v>4132.4675982820436</v>
      </c>
      <c r="E175" s="31">
        <v>5713.061512824228</v>
      </c>
      <c r="F175" s="31">
        <v>0</v>
      </c>
      <c r="G175" s="31">
        <v>363.88699198095719</v>
      </c>
      <c r="H175" s="31">
        <v>7425.5563226157074</v>
      </c>
      <c r="I175" s="31">
        <v>5051.5599835199819</v>
      </c>
      <c r="J175" s="31">
        <v>0</v>
      </c>
      <c r="K175" s="31">
        <v>10415.534097403965</v>
      </c>
    </row>
    <row r="176" spans="1:11" x14ac:dyDescent="0.25">
      <c r="A176" s="20">
        <v>2024</v>
      </c>
      <c r="B176" s="31">
        <v>5542.4083380543825</v>
      </c>
      <c r="C176" s="31">
        <v>5708.4805755201205</v>
      </c>
      <c r="D176" s="31">
        <v>3670.6472757066776</v>
      </c>
      <c r="E176" s="31">
        <v>4992.3459987960814</v>
      </c>
      <c r="F176" s="31">
        <v>0</v>
      </c>
      <c r="G176" s="31">
        <v>345.07923670883639</v>
      </c>
      <c r="H176" s="31">
        <v>7101.2908394907863</v>
      </c>
      <c r="I176" s="31">
        <v>5075.2771996215706</v>
      </c>
      <c r="J176" s="31">
        <v>0</v>
      </c>
      <c r="K176" s="31">
        <v>9217.6594639200466</v>
      </c>
    </row>
    <row r="180" spans="2:4" x14ac:dyDescent="0.25">
      <c r="B180" s="44"/>
      <c r="C180" s="44"/>
      <c r="D180" s="44"/>
    </row>
    <row r="181" spans="2:4" x14ac:dyDescent="0.25">
      <c r="B181" s="44"/>
      <c r="C181" s="44"/>
      <c r="D181" s="44"/>
    </row>
    <row r="182" spans="2:4" x14ac:dyDescent="0.25">
      <c r="B182" s="44"/>
      <c r="C182" s="44"/>
      <c r="D182" s="44"/>
    </row>
    <row r="183" spans="2:4" x14ac:dyDescent="0.25">
      <c r="B183" s="44"/>
      <c r="C183" s="44"/>
      <c r="D183" s="44"/>
    </row>
    <row r="184" spans="2:4" x14ac:dyDescent="0.25">
      <c r="B184" s="44"/>
      <c r="C184" s="44"/>
      <c r="D184" s="44"/>
    </row>
    <row r="185" spans="2:4" ht="13.8" customHeight="1" x14ac:dyDescent="0.25">
      <c r="B185" s="44"/>
      <c r="C185" s="44"/>
      <c r="D185" s="44"/>
    </row>
    <row r="186" spans="2:4" x14ac:dyDescent="0.25">
      <c r="B186" s="44"/>
      <c r="C186" s="44"/>
      <c r="D186" s="44"/>
    </row>
    <row r="187" spans="2:4" x14ac:dyDescent="0.25">
      <c r="B187" s="44"/>
      <c r="C187" s="44"/>
      <c r="D187" s="44"/>
    </row>
    <row r="188" spans="2:4" x14ac:dyDescent="0.25">
      <c r="B188" s="44"/>
      <c r="C188" s="44"/>
      <c r="D188" s="44"/>
    </row>
    <row r="189" spans="2:4" x14ac:dyDescent="0.25">
      <c r="B189" s="44"/>
      <c r="C189" s="44"/>
      <c r="D189" s="44"/>
    </row>
    <row r="198" spans="1:20" s="3" customFormat="1" ht="5.25" customHeight="1" x14ac:dyDescent="0.25">
      <c r="T198" s="4"/>
    </row>
    <row r="200" spans="1:20" x14ac:dyDescent="0.25">
      <c r="A200" s="28"/>
      <c r="B200" s="28" t="s">
        <v>0</v>
      </c>
      <c r="C200" s="28" t="s">
        <v>2</v>
      </c>
      <c r="D200" s="28" t="s">
        <v>3</v>
      </c>
      <c r="E200" s="28" t="s">
        <v>4</v>
      </c>
      <c r="F200" s="17" t="s">
        <v>11</v>
      </c>
      <c r="G200" s="28" t="s">
        <v>5</v>
      </c>
      <c r="H200" s="28" t="s">
        <v>1</v>
      </c>
      <c r="I200" s="28" t="s">
        <v>6</v>
      </c>
      <c r="J200" s="17" t="s">
        <v>12</v>
      </c>
      <c r="K200" s="28" t="s">
        <v>7</v>
      </c>
    </row>
    <row r="201" spans="1:20" x14ac:dyDescent="0.25">
      <c r="A201" s="22">
        <v>2000</v>
      </c>
      <c r="B201" s="51">
        <f>250.234/0.702804</f>
        <v>356.05090466189722</v>
      </c>
      <c r="C201" s="51">
        <f>388.0761/0.702804</f>
        <v>552.18254307032976</v>
      </c>
      <c r="D201" s="51">
        <f>134.1539/0.702804</f>
        <v>190.88380259645646</v>
      </c>
      <c r="E201" s="51">
        <f>386.9106/0.702804</f>
        <v>550.52418597503708</v>
      </c>
      <c r="F201" s="52"/>
      <c r="G201" s="51">
        <f>92.3762/0.702804</f>
        <v>131.43949095338104</v>
      </c>
      <c r="H201" s="51">
        <f>222.2715/0.702804</f>
        <v>316.26385165707654</v>
      </c>
      <c r="I201" s="51">
        <f>187.3491/0.702804</f>
        <v>266.57375313743233</v>
      </c>
      <c r="J201" s="52"/>
      <c r="K201" s="51">
        <f>53.4186/0.702804</f>
        <v>76.007820103471232</v>
      </c>
      <c r="L201" s="46"/>
    </row>
    <row r="202" spans="1:20" hidden="1" outlineLevel="1" x14ac:dyDescent="0.25">
      <c r="A202" s="22">
        <v>2001</v>
      </c>
      <c r="B202" s="51">
        <f>289.4746/0.702804</f>
        <v>411.88524823421608</v>
      </c>
      <c r="C202" s="51">
        <f>445.2407/0.702804</f>
        <v>633.52044097643159</v>
      </c>
      <c r="D202" s="51">
        <f>177.0932/0.702804</f>
        <v>251.98092213476303</v>
      </c>
      <c r="E202" s="51">
        <f>421.529/0.702804</f>
        <v>599.78173146424888</v>
      </c>
      <c r="F202" s="52"/>
      <c r="G202" s="51">
        <f>115.4584/0.702804</f>
        <v>164.28250266077029</v>
      </c>
      <c r="H202" s="51">
        <f>262.895/0.702804</f>
        <v>374.0658846563195</v>
      </c>
      <c r="I202" s="51">
        <f>195.0066/0.702804</f>
        <v>277.4693940273533</v>
      </c>
      <c r="J202" s="52"/>
      <c r="K202" s="51">
        <f>39.8717/0.702804</f>
        <v>56.732317972009263</v>
      </c>
      <c r="L202" s="46"/>
    </row>
    <row r="203" spans="1:20" hidden="1" outlineLevel="1" x14ac:dyDescent="0.25">
      <c r="A203" s="22">
        <v>2002</v>
      </c>
      <c r="B203" s="51">
        <f>324.159/0.702804</f>
        <v>461.23670326292961</v>
      </c>
      <c r="C203" s="51">
        <f>506.4862/0.702804</f>
        <v>720.664936454545</v>
      </c>
      <c r="D203" s="51">
        <f>225.8958/0.702804</f>
        <v>321.42076596035309</v>
      </c>
      <c r="E203" s="51">
        <f>458.3408/0.702804</f>
        <v>652.16020398290277</v>
      </c>
      <c r="F203" s="52"/>
      <c r="G203" s="51">
        <f>107.3736/0.702804</f>
        <v>152.77886864616593</v>
      </c>
      <c r="H203" s="51">
        <f>271.4642/0.702804</f>
        <v>386.25875777599447</v>
      </c>
      <c r="I203" s="51">
        <f>206.6107/0.702804</f>
        <v>293.98054080511781</v>
      </c>
      <c r="J203" s="52"/>
      <c r="K203" s="51">
        <f>64.8342/0.702804</f>
        <v>92.250755544931437</v>
      </c>
      <c r="L203" s="46"/>
    </row>
    <row r="204" spans="1:20" hidden="1" outlineLevel="1" x14ac:dyDescent="0.25">
      <c r="A204" s="22">
        <v>2003</v>
      </c>
      <c r="B204" s="51">
        <f>370.5812/0.702804</f>
        <v>527.28954303048931</v>
      </c>
      <c r="C204" s="51">
        <f>561.144/0.702804</f>
        <v>798.43597930575243</v>
      </c>
      <c r="D204" s="51">
        <f>230.9207/0.702804</f>
        <v>328.57055452160205</v>
      </c>
      <c r="E204" s="51">
        <f>451.9925/0.702804</f>
        <v>643.12738686746241</v>
      </c>
      <c r="F204" s="52"/>
      <c r="G204" s="51">
        <f>135.497/0.702804</f>
        <v>192.79486172531747</v>
      </c>
      <c r="H204" s="51">
        <f>392.3058/0.702804</f>
        <v>558.20086396776344</v>
      </c>
      <c r="I204" s="51">
        <f>358.3781/0.702804</f>
        <v>509.92609603815578</v>
      </c>
      <c r="J204" s="52"/>
      <c r="K204" s="51">
        <f>451.9925/0.702804</f>
        <v>643.12738686746241</v>
      </c>
      <c r="L204" s="46"/>
    </row>
    <row r="205" spans="1:20" hidden="1" outlineLevel="1" x14ac:dyDescent="0.25">
      <c r="A205" s="22" t="s">
        <v>9</v>
      </c>
      <c r="B205" s="51">
        <f>450.2944/0.702804</f>
        <v>640.7112082458267</v>
      </c>
      <c r="C205" s="51">
        <f>647.3777/0.702804</f>
        <v>921.13548016232119</v>
      </c>
      <c r="D205" s="51">
        <f>306.0675/0.702804</f>
        <v>435.49481790086566</v>
      </c>
      <c r="E205" s="51">
        <f>492.127/0.702804</f>
        <v>700.23363555130595</v>
      </c>
      <c r="F205" s="52"/>
      <c r="G205" s="51">
        <f>186.8212/0.702804</f>
        <v>265.82261910859927</v>
      </c>
      <c r="H205" s="51">
        <f>561.6091/0.702804</f>
        <v>799.09775698487772</v>
      </c>
      <c r="I205" s="51">
        <f>412.0263/0.702804</f>
        <v>586.26060750934823</v>
      </c>
      <c r="J205" s="52"/>
      <c r="K205" s="51">
        <f>111.3659/0.702804</f>
        <v>158.4593997757554</v>
      </c>
      <c r="L205" s="46"/>
    </row>
    <row r="206" spans="1:20" collapsed="1" x14ac:dyDescent="0.25">
      <c r="A206" s="20" t="s">
        <v>10</v>
      </c>
      <c r="B206" s="51">
        <v>796</v>
      </c>
      <c r="C206" s="51">
        <v>1183</v>
      </c>
      <c r="D206" s="51">
        <v>505</v>
      </c>
      <c r="E206" s="51">
        <v>765</v>
      </c>
      <c r="F206" s="52"/>
      <c r="G206" s="51">
        <v>223</v>
      </c>
      <c r="H206" s="51">
        <v>841</v>
      </c>
      <c r="I206" s="51">
        <v>745</v>
      </c>
      <c r="J206" s="52"/>
      <c r="K206" s="51">
        <v>193</v>
      </c>
      <c r="L206" s="46"/>
    </row>
    <row r="207" spans="1:20" hidden="1" outlineLevel="1" x14ac:dyDescent="0.25">
      <c r="A207" s="20">
        <v>2006</v>
      </c>
      <c r="B207" s="51">
        <v>973</v>
      </c>
      <c r="C207" s="51">
        <v>1417</v>
      </c>
      <c r="D207" s="51">
        <v>628</v>
      </c>
      <c r="E207" s="51">
        <v>507</v>
      </c>
      <c r="F207" s="52"/>
      <c r="G207" s="51">
        <v>112</v>
      </c>
      <c r="H207" s="51">
        <v>1165</v>
      </c>
      <c r="I207" s="51">
        <v>877</v>
      </c>
      <c r="J207" s="52"/>
      <c r="K207" s="51">
        <v>374</v>
      </c>
      <c r="L207" s="46"/>
    </row>
    <row r="208" spans="1:20" hidden="1" outlineLevel="1" x14ac:dyDescent="0.25">
      <c r="A208" s="20">
        <v>2007</v>
      </c>
      <c r="B208" s="51">
        <v>1188</v>
      </c>
      <c r="C208" s="51">
        <v>1765</v>
      </c>
      <c r="D208" s="51">
        <v>756</v>
      </c>
      <c r="E208" s="51">
        <v>996</v>
      </c>
      <c r="F208" s="52"/>
      <c r="G208" s="51">
        <v>409</v>
      </c>
      <c r="H208" s="51">
        <v>1363</v>
      </c>
      <c r="I208" s="51">
        <v>1018</v>
      </c>
      <c r="J208" s="52"/>
      <c r="K208" s="51">
        <v>286</v>
      </c>
      <c r="L208" s="46"/>
    </row>
    <row r="209" spans="1:12" hidden="1" outlineLevel="1" x14ac:dyDescent="0.25">
      <c r="A209" s="24">
        <v>2008</v>
      </c>
      <c r="B209" s="51">
        <v>1214</v>
      </c>
      <c r="C209" s="51">
        <v>1794</v>
      </c>
      <c r="D209" s="51">
        <v>853</v>
      </c>
      <c r="E209" s="51">
        <v>785</v>
      </c>
      <c r="F209" s="52"/>
      <c r="G209" s="51">
        <v>145</v>
      </c>
      <c r="H209" s="51">
        <v>1282</v>
      </c>
      <c r="I209" s="51">
        <v>1066</v>
      </c>
      <c r="J209" s="52"/>
      <c r="K209" s="51">
        <v>286</v>
      </c>
      <c r="L209" s="46"/>
    </row>
    <row r="210" spans="1:12" hidden="1" outlineLevel="1" x14ac:dyDescent="0.25">
      <c r="A210" s="20">
        <v>2009</v>
      </c>
      <c r="B210" s="51">
        <v>855</v>
      </c>
      <c r="C210" s="51">
        <v>1220</v>
      </c>
      <c r="D210" s="51">
        <v>509</v>
      </c>
      <c r="E210" s="51">
        <v>470</v>
      </c>
      <c r="F210" s="52"/>
      <c r="G210" s="51">
        <v>127</v>
      </c>
      <c r="H210" s="51">
        <v>637</v>
      </c>
      <c r="I210" s="51">
        <v>953</v>
      </c>
      <c r="J210" s="52"/>
      <c r="K210" s="51">
        <v>455</v>
      </c>
      <c r="L210" s="46"/>
    </row>
    <row r="211" spans="1:12" collapsed="1" x14ac:dyDescent="0.25">
      <c r="A211" s="20">
        <v>2010</v>
      </c>
      <c r="B211" s="52">
        <v>902</v>
      </c>
      <c r="C211" s="52">
        <v>1266</v>
      </c>
      <c r="D211" s="52">
        <v>465</v>
      </c>
      <c r="E211" s="52">
        <v>484</v>
      </c>
      <c r="F211" s="52"/>
      <c r="G211" s="52"/>
      <c r="H211" s="52">
        <v>640</v>
      </c>
      <c r="I211" s="52"/>
      <c r="J211" s="52"/>
      <c r="K211" s="52">
        <v>508</v>
      </c>
      <c r="L211" s="46"/>
    </row>
    <row r="212" spans="1:12" hidden="1" outlineLevel="1" x14ac:dyDescent="0.25">
      <c r="A212" s="20">
        <v>2011</v>
      </c>
      <c r="B212" s="52">
        <v>1039</v>
      </c>
      <c r="C212" s="52">
        <v>1427</v>
      </c>
      <c r="D212" s="52">
        <v>542</v>
      </c>
      <c r="E212" s="52">
        <v>620</v>
      </c>
      <c r="F212" s="52"/>
      <c r="G212" s="52"/>
      <c r="H212" s="52">
        <v>803</v>
      </c>
      <c r="I212" s="52"/>
      <c r="J212" s="52"/>
      <c r="K212" s="52">
        <v>602</v>
      </c>
      <c r="L212" s="46"/>
    </row>
    <row r="213" spans="1:12" hidden="1" outlineLevel="1" x14ac:dyDescent="0.25">
      <c r="A213" s="20">
        <v>2012</v>
      </c>
      <c r="B213" s="52">
        <v>1108</v>
      </c>
      <c r="C213" s="52">
        <v>1491</v>
      </c>
      <c r="D213" s="52">
        <v>646</v>
      </c>
      <c r="E213" s="52">
        <v>659</v>
      </c>
      <c r="F213" s="52"/>
      <c r="G213" s="52"/>
      <c r="H213" s="52">
        <v>838</v>
      </c>
      <c r="I213" s="52"/>
      <c r="J213" s="52"/>
      <c r="K213" s="52">
        <v>673</v>
      </c>
      <c r="L213" s="46"/>
    </row>
    <row r="214" spans="1:12" hidden="1" outlineLevel="1" x14ac:dyDescent="0.25">
      <c r="A214" s="20">
        <v>2013</v>
      </c>
      <c r="B214" s="52">
        <v>1176</v>
      </c>
      <c r="C214" s="52">
        <v>1552</v>
      </c>
      <c r="D214" s="52">
        <v>719</v>
      </c>
      <c r="E214" s="52">
        <v>795</v>
      </c>
      <c r="F214" s="52">
        <v>1438</v>
      </c>
      <c r="G214" s="52"/>
      <c r="H214" s="52">
        <v>737</v>
      </c>
      <c r="I214" s="52"/>
      <c r="J214" s="52">
        <v>2232</v>
      </c>
      <c r="K214" s="52">
        <v>580</v>
      </c>
      <c r="L214" s="46"/>
    </row>
    <row r="215" spans="1:12" hidden="1" outlineLevel="1" x14ac:dyDescent="0.25">
      <c r="A215" s="20">
        <v>2014</v>
      </c>
      <c r="B215" s="52">
        <v>1170</v>
      </c>
      <c r="C215" s="52">
        <v>1424</v>
      </c>
      <c r="D215" s="52">
        <v>701</v>
      </c>
      <c r="E215" s="52">
        <v>781</v>
      </c>
      <c r="F215" s="52">
        <v>1559</v>
      </c>
      <c r="G215" s="52"/>
      <c r="H215" s="52">
        <v>766</v>
      </c>
      <c r="I215" s="52"/>
      <c r="J215" s="52">
        <v>2054</v>
      </c>
      <c r="K215" s="52">
        <v>545</v>
      </c>
      <c r="L215" s="46"/>
    </row>
    <row r="216" spans="1:12" collapsed="1" x14ac:dyDescent="0.25">
      <c r="A216" s="20">
        <v>2015</v>
      </c>
      <c r="B216" s="52">
        <v>1119.461</v>
      </c>
      <c r="C216" s="52">
        <v>1292.8</v>
      </c>
      <c r="D216" s="52">
        <v>731.68399999999997</v>
      </c>
      <c r="E216" s="52">
        <v>743.22400000000005</v>
      </c>
      <c r="F216" s="52">
        <v>1159.011</v>
      </c>
      <c r="G216" s="52"/>
      <c r="H216" s="52">
        <v>761.51300000000003</v>
      </c>
      <c r="I216" s="52"/>
      <c r="J216" s="52"/>
      <c r="K216" s="52">
        <v>522.64099999999996</v>
      </c>
      <c r="L216" s="46"/>
    </row>
    <row r="217" spans="1:12" hidden="1" outlineLevel="1" x14ac:dyDescent="0.25">
      <c r="A217" s="20">
        <v>2016</v>
      </c>
      <c r="B217" s="52">
        <v>1134</v>
      </c>
      <c r="C217" s="52">
        <v>1269</v>
      </c>
      <c r="D217" s="52">
        <v>743</v>
      </c>
      <c r="E217" s="52">
        <v>749</v>
      </c>
      <c r="F217" s="52">
        <v>1310</v>
      </c>
      <c r="G217" s="52"/>
      <c r="H217" s="52">
        <v>781</v>
      </c>
      <c r="I217" s="52"/>
      <c r="J217" s="52">
        <v>1438</v>
      </c>
      <c r="K217" s="52">
        <v>410</v>
      </c>
      <c r="L217" s="46"/>
    </row>
    <row r="218" spans="1:12" hidden="1" outlineLevel="1" x14ac:dyDescent="0.25">
      <c r="A218" s="20">
        <v>2017</v>
      </c>
      <c r="B218" s="52">
        <v>1125</v>
      </c>
      <c r="C218" s="52">
        <v>1324</v>
      </c>
      <c r="D218" s="52">
        <v>636</v>
      </c>
      <c r="E218" s="52">
        <v>891</v>
      </c>
      <c r="F218" s="52">
        <v>1550</v>
      </c>
      <c r="G218" s="52"/>
      <c r="H218" s="52">
        <v>972</v>
      </c>
      <c r="I218" s="52"/>
      <c r="J218" s="52">
        <v>1808</v>
      </c>
      <c r="K218" s="52">
        <v>673</v>
      </c>
      <c r="L218" s="46"/>
    </row>
    <row r="219" spans="1:12" hidden="1" outlineLevel="1" x14ac:dyDescent="0.25">
      <c r="A219" s="20">
        <v>2018</v>
      </c>
      <c r="B219" s="52">
        <v>1343</v>
      </c>
      <c r="C219" s="52">
        <v>1378</v>
      </c>
      <c r="D219" s="52">
        <v>674</v>
      </c>
      <c r="E219" s="52">
        <v>1257</v>
      </c>
      <c r="F219" s="52">
        <v>1774</v>
      </c>
      <c r="G219" s="52"/>
      <c r="H219" s="52">
        <v>936</v>
      </c>
      <c r="I219" s="52"/>
      <c r="J219" s="52">
        <v>1455</v>
      </c>
      <c r="K219" s="52">
        <v>1001</v>
      </c>
      <c r="L219" s="46"/>
    </row>
    <row r="220" spans="1:12" hidden="1" outlineLevel="1" x14ac:dyDescent="0.25">
      <c r="A220" s="20">
        <v>2019</v>
      </c>
      <c r="B220" s="52">
        <v>1409.552290301021</v>
      </c>
      <c r="C220" s="52">
        <v>1431.8452763164814</v>
      </c>
      <c r="D220" s="52">
        <v>798.23750944592052</v>
      </c>
      <c r="E220" s="52">
        <v>1519.4683671649245</v>
      </c>
      <c r="F220" s="52">
        <v>1620.2364784750091</v>
      </c>
      <c r="G220" s="52"/>
      <c r="H220" s="52">
        <v>1030.3160998030205</v>
      </c>
      <c r="I220" s="52"/>
      <c r="J220" s="52">
        <v>1293.7804381778742</v>
      </c>
      <c r="K220" s="52">
        <v>1067.7570017106116</v>
      </c>
      <c r="L220" s="46"/>
    </row>
    <row r="221" spans="1:12" collapsed="1" x14ac:dyDescent="0.25">
      <c r="A221" s="20">
        <v>2020</v>
      </c>
      <c r="B221" s="52">
        <v>1408.3534062812464</v>
      </c>
      <c r="C221" s="52">
        <v>1391.5898750117958</v>
      </c>
      <c r="D221" s="52">
        <v>871.94175152244293</v>
      </c>
      <c r="E221" s="52">
        <v>1493.3200213242735</v>
      </c>
      <c r="F221" s="52">
        <v>1907.3281427712795</v>
      </c>
      <c r="G221" s="52"/>
      <c r="H221" s="52">
        <v>1216.9400697428048</v>
      </c>
      <c r="I221" s="52"/>
      <c r="J221" s="52">
        <v>1133.2079491532804</v>
      </c>
      <c r="K221" s="52">
        <v>1559.1763184705742</v>
      </c>
      <c r="L221" s="46"/>
    </row>
    <row r="222" spans="1:12" x14ac:dyDescent="0.25">
      <c r="A222" s="20">
        <v>2021</v>
      </c>
      <c r="B222" s="52">
        <v>1653</v>
      </c>
      <c r="C222" s="52">
        <v>1504</v>
      </c>
      <c r="D222" s="52">
        <v>892</v>
      </c>
      <c r="E222" s="52">
        <v>1685</v>
      </c>
      <c r="F222" s="52"/>
      <c r="G222" s="52"/>
      <c r="H222" s="52">
        <v>1407</v>
      </c>
      <c r="I222" s="52"/>
      <c r="J222" s="52"/>
      <c r="K222" s="52">
        <v>1780</v>
      </c>
      <c r="L222" s="46"/>
    </row>
    <row r="223" spans="1:12" x14ac:dyDescent="0.25">
      <c r="A223" s="20">
        <v>2022</v>
      </c>
      <c r="B223" s="31">
        <v>1997.1952870958928</v>
      </c>
      <c r="C223" s="31">
        <v>1815.944492129732</v>
      </c>
      <c r="D223" s="31">
        <v>1051.7440020527199</v>
      </c>
      <c r="E223" s="31">
        <v>1710.6693752029146</v>
      </c>
      <c r="F223" s="31">
        <v>0</v>
      </c>
      <c r="G223" s="31">
        <v>0</v>
      </c>
      <c r="H223" s="31">
        <v>1539.9332695454013</v>
      </c>
      <c r="I223" s="31">
        <v>0</v>
      </c>
      <c r="J223" s="31">
        <v>0</v>
      </c>
      <c r="K223" s="31">
        <v>1226.8518331792011</v>
      </c>
      <c r="L223" s="46"/>
    </row>
    <row r="224" spans="1:12" x14ac:dyDescent="0.25">
      <c r="A224" s="20">
        <v>2023</v>
      </c>
      <c r="B224" s="31">
        <v>2000.1252428923979</v>
      </c>
      <c r="C224" s="31">
        <v>1938.8495131849229</v>
      </c>
      <c r="D224" s="31">
        <v>1384.2187480204229</v>
      </c>
      <c r="E224" s="31">
        <v>1458.9269671062166</v>
      </c>
      <c r="F224" s="31">
        <v>0</v>
      </c>
      <c r="G224" s="31">
        <v>0</v>
      </c>
      <c r="H224" s="31">
        <v>1637.4462772285954</v>
      </c>
      <c r="I224" s="31">
        <v>2919.7696542941685</v>
      </c>
      <c r="J224" s="31">
        <v>0</v>
      </c>
      <c r="K224" s="31">
        <v>1207.27969798153</v>
      </c>
    </row>
    <row r="225" spans="1:11" x14ac:dyDescent="0.25">
      <c r="A225" s="20">
        <v>2024</v>
      </c>
      <c r="B225" s="31">
        <v>1996.9551927588086</v>
      </c>
      <c r="C225" s="31">
        <v>1894.155591824046</v>
      </c>
      <c r="D225" s="31">
        <v>1308.8693158541582</v>
      </c>
      <c r="E225" s="31">
        <v>1544.4409988872876</v>
      </c>
      <c r="F225" s="31">
        <v>0</v>
      </c>
      <c r="G225" s="31">
        <v>0</v>
      </c>
      <c r="H225" s="31">
        <v>1693.0072108964657</v>
      </c>
      <c r="I225" s="31">
        <v>2886.6263008514666</v>
      </c>
      <c r="J225" s="31">
        <v>0</v>
      </c>
      <c r="K225" s="31">
        <v>1364.2531862220728</v>
      </c>
    </row>
    <row r="226" spans="1:1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</row>
    <row r="227" spans="1:11" ht="9.75" customHeight="1" x14ac:dyDescent="0.25"/>
    <row r="228" spans="1:11" ht="9.75" customHeight="1" x14ac:dyDescent="0.25">
      <c r="B228" s="44"/>
      <c r="C228" s="44"/>
      <c r="D228" s="44"/>
    </row>
    <row r="229" spans="1:11" ht="9.75" customHeight="1" x14ac:dyDescent="0.25">
      <c r="B229" s="44"/>
      <c r="C229" s="44"/>
      <c r="D229" s="44"/>
    </row>
    <row r="230" spans="1:11" ht="9.75" customHeight="1" x14ac:dyDescent="0.25">
      <c r="B230" s="44"/>
      <c r="C230" s="44"/>
      <c r="D230" s="44"/>
    </row>
    <row r="231" spans="1:11" ht="9.75" customHeight="1" x14ac:dyDescent="0.25">
      <c r="B231" s="44"/>
      <c r="C231" s="44"/>
      <c r="D231" s="44"/>
    </row>
    <row r="232" spans="1:11" ht="9.75" customHeight="1" x14ac:dyDescent="0.25">
      <c r="B232" s="44"/>
      <c r="C232" s="44"/>
      <c r="D232" s="44"/>
    </row>
    <row r="233" spans="1:11" ht="9.75" customHeight="1" x14ac:dyDescent="0.25">
      <c r="B233" s="44"/>
      <c r="C233" s="44"/>
      <c r="D233" s="44"/>
    </row>
    <row r="234" spans="1:11" ht="9.75" customHeight="1" x14ac:dyDescent="0.25">
      <c r="B234" s="44"/>
      <c r="C234" s="44"/>
      <c r="D234" s="44"/>
    </row>
    <row r="235" spans="1:11" ht="9.75" customHeight="1" x14ac:dyDescent="0.25">
      <c r="B235" s="44"/>
      <c r="C235" s="44"/>
      <c r="D235" s="44"/>
    </row>
    <row r="236" spans="1:11" x14ac:dyDescent="0.25">
      <c r="B236" s="44"/>
      <c r="C236" s="44"/>
      <c r="D236" s="44"/>
    </row>
    <row r="237" spans="1:11" x14ac:dyDescent="0.25">
      <c r="B237" s="44"/>
      <c r="C237" s="44"/>
      <c r="D237" s="44"/>
    </row>
    <row r="246" spans="1:20" s="3" customFormat="1" ht="5.25" customHeight="1" x14ac:dyDescent="0.25">
      <c r="T246" s="4"/>
    </row>
    <row r="248" spans="1:20" x14ac:dyDescent="0.25">
      <c r="A248" s="28"/>
      <c r="B248" s="28" t="s">
        <v>0</v>
      </c>
      <c r="C248" s="28" t="s">
        <v>2</v>
      </c>
      <c r="D248" s="28" t="s">
        <v>3</v>
      </c>
      <c r="E248" s="28" t="s">
        <v>4</v>
      </c>
      <c r="F248" s="17" t="s">
        <v>11</v>
      </c>
      <c r="G248" s="28" t="s">
        <v>5</v>
      </c>
      <c r="H248" s="28" t="s">
        <v>1</v>
      </c>
      <c r="I248" s="28" t="s">
        <v>6</v>
      </c>
      <c r="J248" s="17" t="s">
        <v>12</v>
      </c>
      <c r="K248" s="28" t="s">
        <v>7</v>
      </c>
    </row>
    <row r="249" spans="1:20" x14ac:dyDescent="0.25">
      <c r="A249" s="22">
        <v>2000</v>
      </c>
      <c r="B249" s="51">
        <f>280.7248/0.702804</f>
        <v>399.4354044655409</v>
      </c>
      <c r="C249" s="51">
        <f>390.1639/0.702804</f>
        <v>555.15321483656896</v>
      </c>
      <c r="D249" s="51">
        <f>179.47/0.702804</f>
        <v>255.36280385427517</v>
      </c>
      <c r="E249" s="51">
        <f>231.9863/0.702804</f>
        <v>330.08676672301237</v>
      </c>
      <c r="F249" s="52"/>
      <c r="G249" s="51">
        <f>221.537/0.702804</f>
        <v>315.21875231216671</v>
      </c>
      <c r="H249" s="51">
        <f>1026.8961/0.702804</f>
        <v>1461.1415131387982</v>
      </c>
      <c r="I249" s="51">
        <f>277.5403/0.702804</f>
        <v>394.90426918458064</v>
      </c>
      <c r="J249" s="52"/>
      <c r="K249" s="51">
        <f>62.1697/0.702804</f>
        <v>88.459513605500248</v>
      </c>
    </row>
    <row r="250" spans="1:20" hidden="1" outlineLevel="1" x14ac:dyDescent="0.25">
      <c r="A250" s="22">
        <v>2001</v>
      </c>
      <c r="B250" s="51">
        <f>330.2321/0.702804</f>
        <v>469.87794605608394</v>
      </c>
      <c r="C250" s="51">
        <f>476.7563/0.702804</f>
        <v>678.36309981161185</v>
      </c>
      <c r="D250" s="51">
        <f>206.0892/0.702804</f>
        <v>293.23851315587279</v>
      </c>
      <c r="E250" s="51">
        <f>175.3994/0.702804</f>
        <v>249.57086186191316</v>
      </c>
      <c r="F250" s="52"/>
      <c r="G250" s="51">
        <f>199.3316/0.702804</f>
        <v>283.62331460834031</v>
      </c>
      <c r="H250" s="51">
        <f>1105.3343/0.702804</f>
        <v>1572.7490167955789</v>
      </c>
      <c r="I250" s="51">
        <f>291.9435/0.702804</f>
        <v>415.39817644748746</v>
      </c>
      <c r="J250" s="52"/>
      <c r="K250" s="51">
        <f>51.8791/0.702804</f>
        <v>73.817308951001991</v>
      </c>
    </row>
    <row r="251" spans="1:20" hidden="1" outlineLevel="1" x14ac:dyDescent="0.25">
      <c r="A251" s="22">
        <v>2002</v>
      </c>
      <c r="B251" s="51">
        <f>361.9466/0.702804</f>
        <v>515.00361409439904</v>
      </c>
      <c r="C251" s="51">
        <f>574.9284/0.702804</f>
        <v>818.04941349223964</v>
      </c>
      <c r="D251" s="51">
        <f>245.0506/0.702804</f>
        <v>348.67559091866298</v>
      </c>
      <c r="E251" s="51">
        <f>131.6216/0.702804</f>
        <v>187.28066431039096</v>
      </c>
      <c r="F251" s="52"/>
      <c r="G251" s="51">
        <f>77.0506/0.702804</f>
        <v>109.63312673234644</v>
      </c>
      <c r="H251" s="51">
        <f>1032.0824/0.702804</f>
        <v>1468.5209532102833</v>
      </c>
      <c r="I251" s="51">
        <f>311.0296/0.702804</f>
        <v>442.5552501124069</v>
      </c>
      <c r="J251" s="52"/>
      <c r="K251" s="51">
        <f>53.9616/0.702804</f>
        <v>76.78043949664486</v>
      </c>
    </row>
    <row r="252" spans="1:20" hidden="1" outlineLevel="1" x14ac:dyDescent="0.25">
      <c r="A252" s="22">
        <v>2003</v>
      </c>
      <c r="B252" s="51">
        <f>422.6849/0.702804</f>
        <v>601.42642899015948</v>
      </c>
      <c r="C252" s="51">
        <f>630.72/0.702804</f>
        <v>897.43370840234263</v>
      </c>
      <c r="D252" s="51">
        <f>284.0194/0.702804</f>
        <v>404.12319793285189</v>
      </c>
      <c r="E252" s="51">
        <f>173.1673/0.702804</f>
        <v>246.39486969339961</v>
      </c>
      <c r="F252" s="52"/>
      <c r="G252" s="51">
        <f>88.7059/0.702804</f>
        <v>126.21712454681533</v>
      </c>
      <c r="H252" s="51">
        <f>1376.0369/0.702804</f>
        <v>1957.9241154005954</v>
      </c>
      <c r="I252" s="51">
        <f>400.9615/0.702804</f>
        <v>570.51681549905811</v>
      </c>
      <c r="J252" s="52"/>
      <c r="K252" s="51">
        <v>0</v>
      </c>
    </row>
    <row r="253" spans="1:20" hidden="1" outlineLevel="1" x14ac:dyDescent="0.25">
      <c r="A253" s="22" t="s">
        <v>9</v>
      </c>
      <c r="B253" s="51">
        <f>504.1572/0.702804</f>
        <v>717.35106800758103</v>
      </c>
      <c r="C253" s="51">
        <f>728.5113/0.702804</f>
        <v>1036.5781924974815</v>
      </c>
      <c r="D253" s="51">
        <f>329.1705/0.702804</f>
        <v>468.36742534191609</v>
      </c>
      <c r="E253" s="51">
        <f>248.4969/0.702804</f>
        <v>353.57923403964691</v>
      </c>
      <c r="F253" s="52"/>
      <c r="G253" s="51">
        <f>69.5588/0.702804</f>
        <v>98.973255701447357</v>
      </c>
      <c r="H253" s="51">
        <f>2064.054/0.702804</f>
        <v>2936.8842522239488</v>
      </c>
      <c r="I253" s="51">
        <f>457.3616/0.702804</f>
        <v>650.76692790593108</v>
      </c>
      <c r="J253" s="52"/>
      <c r="K253" s="51">
        <f>85.1128/0.702804</f>
        <v>121.10460384403048</v>
      </c>
    </row>
    <row r="254" spans="1:20" collapsed="1" x14ac:dyDescent="0.25">
      <c r="A254" s="17" t="s">
        <v>10</v>
      </c>
      <c r="B254" s="51">
        <v>896.94</v>
      </c>
      <c r="C254" s="51">
        <v>1249.68</v>
      </c>
      <c r="D254" s="51">
        <v>682.09</v>
      </c>
      <c r="E254" s="51">
        <v>401.96</v>
      </c>
      <c r="F254" s="52"/>
      <c r="G254" s="51">
        <v>111.73</v>
      </c>
      <c r="H254" s="51">
        <v>3429.87</v>
      </c>
      <c r="I254" s="51">
        <v>718.08</v>
      </c>
      <c r="J254" s="52"/>
      <c r="K254" s="51">
        <v>181.14</v>
      </c>
    </row>
    <row r="255" spans="1:20" hidden="1" outlineLevel="1" x14ac:dyDescent="0.25">
      <c r="A255" s="20">
        <v>2006</v>
      </c>
      <c r="B255" s="51">
        <v>1029.07</v>
      </c>
      <c r="C255" s="51">
        <v>1354.07</v>
      </c>
      <c r="D255" s="51">
        <v>644.76</v>
      </c>
      <c r="E255" s="51">
        <v>447.91</v>
      </c>
      <c r="F255" s="52"/>
      <c r="G255" s="51">
        <v>90.53</v>
      </c>
      <c r="H255" s="51">
        <v>4184.82</v>
      </c>
      <c r="I255" s="51">
        <v>801.97</v>
      </c>
      <c r="J255" s="52"/>
      <c r="K255" s="51">
        <v>590.34</v>
      </c>
    </row>
    <row r="256" spans="1:20" hidden="1" outlineLevel="1" x14ac:dyDescent="0.25">
      <c r="A256" s="20">
        <v>2007</v>
      </c>
      <c r="B256" s="51">
        <v>1171.8499999999999</v>
      </c>
      <c r="C256" s="51">
        <v>1438.01</v>
      </c>
      <c r="D256" s="51">
        <v>685.38</v>
      </c>
      <c r="E256" s="51">
        <v>582.17999999999995</v>
      </c>
      <c r="F256" s="52"/>
      <c r="G256" s="51">
        <v>99</v>
      </c>
      <c r="H256" s="51">
        <v>4989.29</v>
      </c>
      <c r="I256" s="51">
        <v>946.5</v>
      </c>
      <c r="J256" s="52"/>
      <c r="K256" s="51">
        <v>915.57</v>
      </c>
    </row>
    <row r="257" spans="1:23" hidden="1" outlineLevel="1" x14ac:dyDescent="0.25">
      <c r="A257" s="24">
        <v>2008</v>
      </c>
      <c r="B257" s="51">
        <v>1265.76</v>
      </c>
      <c r="C257" s="51">
        <v>1535.38</v>
      </c>
      <c r="D257" s="51">
        <v>863.76</v>
      </c>
      <c r="E257" s="51">
        <v>651.26</v>
      </c>
      <c r="F257" s="52"/>
      <c r="G257" s="51">
        <v>120.42</v>
      </c>
      <c r="H257" s="51">
        <v>5696.52</v>
      </c>
      <c r="I257" s="51">
        <v>839.88</v>
      </c>
      <c r="J257" s="52"/>
      <c r="K257" s="51">
        <v>1466.34</v>
      </c>
    </row>
    <row r="258" spans="1:23" hidden="1" outlineLevel="1" x14ac:dyDescent="0.25">
      <c r="A258" s="20">
        <v>2009</v>
      </c>
      <c r="B258" s="51">
        <v>1007.81</v>
      </c>
      <c r="C258" s="51">
        <v>1166.92</v>
      </c>
      <c r="D258" s="51">
        <v>668.66</v>
      </c>
      <c r="E258" s="51">
        <v>539.82000000000005</v>
      </c>
      <c r="F258" s="52"/>
      <c r="G258" s="51">
        <v>110.34</v>
      </c>
      <c r="H258" s="51">
        <v>3893.5</v>
      </c>
      <c r="I258" s="51">
        <v>171.11</v>
      </c>
      <c r="J258" s="52"/>
      <c r="K258" s="51">
        <v>1635.14</v>
      </c>
    </row>
    <row r="259" spans="1:23" collapsed="1" x14ac:dyDescent="0.25">
      <c r="A259" s="20">
        <v>2010</v>
      </c>
      <c r="B259" s="52">
        <v>1318.33</v>
      </c>
      <c r="C259" s="52">
        <v>1590.91</v>
      </c>
      <c r="D259" s="52">
        <v>833.52</v>
      </c>
      <c r="E259" s="52">
        <v>776.26</v>
      </c>
      <c r="F259" s="52"/>
      <c r="G259" s="52"/>
      <c r="H259" s="52">
        <v>4840.8999999999996</v>
      </c>
      <c r="I259" s="52"/>
      <c r="J259" s="52"/>
      <c r="K259" s="52">
        <v>1818.38</v>
      </c>
    </row>
    <row r="260" spans="1:23" hidden="1" outlineLevel="1" x14ac:dyDescent="0.25">
      <c r="A260" s="20">
        <v>2011</v>
      </c>
      <c r="B260" s="52">
        <v>1614.07</v>
      </c>
      <c r="C260" s="52">
        <v>1946.51</v>
      </c>
      <c r="D260" s="52">
        <v>1131</v>
      </c>
      <c r="E260" s="52">
        <v>1104.93</v>
      </c>
      <c r="F260" s="52"/>
      <c r="G260" s="52"/>
      <c r="H260" s="52">
        <v>5582.27</v>
      </c>
      <c r="I260" s="52"/>
      <c r="J260" s="52"/>
      <c r="K260" s="52">
        <v>2765.35</v>
      </c>
    </row>
    <row r="261" spans="1:23" hidden="1" outlineLevel="1" x14ac:dyDescent="0.25">
      <c r="A261" s="20">
        <v>2012</v>
      </c>
      <c r="B261" s="52">
        <v>1924.4</v>
      </c>
      <c r="C261" s="52">
        <v>2255.2800000000002</v>
      </c>
      <c r="D261" s="52">
        <v>1242.31</v>
      </c>
      <c r="E261" s="52">
        <v>1295.74</v>
      </c>
      <c r="F261" s="52"/>
      <c r="G261" s="52"/>
      <c r="H261" s="52">
        <v>7725.99</v>
      </c>
      <c r="I261" s="52"/>
      <c r="J261" s="52"/>
      <c r="K261" s="52">
        <v>4127.6000000000004</v>
      </c>
    </row>
    <row r="262" spans="1:23" hidden="1" outlineLevel="1" x14ac:dyDescent="0.25">
      <c r="A262" s="20">
        <v>2013</v>
      </c>
      <c r="B262" s="52">
        <v>1892.09</v>
      </c>
      <c r="C262" s="52">
        <v>2397.5100000000002</v>
      </c>
      <c r="D262" s="52">
        <v>1144.01</v>
      </c>
      <c r="E262" s="52">
        <v>1637.25</v>
      </c>
      <c r="F262" s="52">
        <v>2232.7399999999998</v>
      </c>
      <c r="G262" s="52"/>
      <c r="H262" s="52">
        <v>3877.86</v>
      </c>
      <c r="I262" s="52"/>
      <c r="J262" s="52">
        <v>4846.3100000000004</v>
      </c>
      <c r="K262" s="52">
        <v>3649.76</v>
      </c>
    </row>
    <row r="263" spans="1:23" hidden="1" outlineLevel="1" x14ac:dyDescent="0.25">
      <c r="A263" s="20">
        <v>2014</v>
      </c>
      <c r="B263" s="52">
        <v>1879.79</v>
      </c>
      <c r="C263" s="52">
        <v>2266.69</v>
      </c>
      <c r="D263" s="52">
        <v>1136.83</v>
      </c>
      <c r="E263" s="52">
        <v>1491.29</v>
      </c>
      <c r="F263" s="52">
        <v>2084.4499999999998</v>
      </c>
      <c r="G263" s="52"/>
      <c r="H263" s="52">
        <v>2217.0300000000002</v>
      </c>
      <c r="I263" s="52"/>
      <c r="J263" s="52">
        <v>4396.91</v>
      </c>
      <c r="K263" s="52">
        <v>3797.07</v>
      </c>
    </row>
    <row r="264" spans="1:23" collapsed="1" x14ac:dyDescent="0.25">
      <c r="A264" s="20">
        <v>2015</v>
      </c>
      <c r="B264" s="52">
        <v>1977.643</v>
      </c>
      <c r="C264" s="52">
        <v>2326.1309999999999</v>
      </c>
      <c r="D264" s="52">
        <v>1065.625</v>
      </c>
      <c r="E264" s="52">
        <v>1516.9280000000001</v>
      </c>
      <c r="F264" s="52">
        <v>666.17399999999998</v>
      </c>
      <c r="G264" s="52"/>
      <c r="H264" s="52">
        <v>3229.55</v>
      </c>
      <c r="I264" s="52"/>
      <c r="J264" s="52"/>
      <c r="K264" s="52">
        <v>3557.442</v>
      </c>
    </row>
    <row r="265" spans="1:23" hidden="1" outlineLevel="1" x14ac:dyDescent="0.25">
      <c r="A265" s="20">
        <v>2016</v>
      </c>
      <c r="B265" s="52">
        <v>2073</v>
      </c>
      <c r="C265" s="52">
        <v>2487</v>
      </c>
      <c r="D265" s="52">
        <v>1169</v>
      </c>
      <c r="E265" s="52">
        <v>1689</v>
      </c>
      <c r="F265" s="52">
        <v>616</v>
      </c>
      <c r="G265" s="52"/>
      <c r="H265" s="52">
        <v>2588</v>
      </c>
      <c r="I265" s="52"/>
      <c r="J265" s="52">
        <v>5818</v>
      </c>
      <c r="K265" s="52">
        <v>3212</v>
      </c>
    </row>
    <row r="266" spans="1:23" hidden="1" outlineLevel="1" x14ac:dyDescent="0.25">
      <c r="A266" s="20">
        <v>2017</v>
      </c>
      <c r="B266" s="52">
        <v>2326</v>
      </c>
      <c r="C266" s="52">
        <v>2659</v>
      </c>
      <c r="D266" s="52">
        <v>1291</v>
      </c>
      <c r="E266" s="52">
        <v>2305</v>
      </c>
      <c r="F266" s="52">
        <v>662</v>
      </c>
      <c r="G266" s="52"/>
      <c r="H266" s="52">
        <v>3074</v>
      </c>
      <c r="I266" s="52"/>
      <c r="J266" s="52">
        <v>6057</v>
      </c>
      <c r="K266" s="52">
        <v>4312</v>
      </c>
      <c r="W266" s="1">
        <f>+V226</f>
        <v>0</v>
      </c>
    </row>
    <row r="267" spans="1:23" hidden="1" outlineLevel="1" x14ac:dyDescent="0.25">
      <c r="A267" s="20">
        <v>2018</v>
      </c>
      <c r="B267" s="52">
        <v>2530</v>
      </c>
      <c r="C267" s="52">
        <v>2734</v>
      </c>
      <c r="D267" s="52">
        <v>1667</v>
      </c>
      <c r="E267" s="52">
        <v>2429</v>
      </c>
      <c r="F267" s="52">
        <v>809</v>
      </c>
      <c r="G267" s="52"/>
      <c r="H267" s="52">
        <v>3228</v>
      </c>
      <c r="I267" s="52"/>
      <c r="J267" s="52">
        <v>6123</v>
      </c>
      <c r="K267" s="52">
        <v>6319</v>
      </c>
    </row>
    <row r="268" spans="1:23" hidden="1" outlineLevel="1" x14ac:dyDescent="0.25">
      <c r="A268" s="20">
        <v>2019</v>
      </c>
      <c r="B268" s="52">
        <v>2621.7064966516837</v>
      </c>
      <c r="C268" s="52">
        <v>2850.8015354899785</v>
      </c>
      <c r="D268" s="52">
        <v>1869.1795492772344</v>
      </c>
      <c r="E268" s="52">
        <v>2527.0051799793087</v>
      </c>
      <c r="F268" s="52">
        <v>820.38738143013495</v>
      </c>
      <c r="G268" s="52"/>
      <c r="H268" s="52">
        <v>3497.2756416429565</v>
      </c>
      <c r="I268" s="52"/>
      <c r="J268" s="52">
        <v>5591.2781301518426</v>
      </c>
      <c r="K268" s="52">
        <v>6142.1940394030553</v>
      </c>
    </row>
    <row r="269" spans="1:23" collapsed="1" x14ac:dyDescent="0.25">
      <c r="A269" s="20">
        <v>2020</v>
      </c>
      <c r="B269" s="52">
        <v>2741.8078795260785</v>
      </c>
      <c r="C269" s="52">
        <v>3451.653457594799</v>
      </c>
      <c r="D269" s="52">
        <v>1820.0178153720219</v>
      </c>
      <c r="E269" s="52">
        <v>2586.8393685846463</v>
      </c>
      <c r="F269" s="52">
        <v>869.16675759397094</v>
      </c>
      <c r="G269" s="52"/>
      <c r="H269" s="52">
        <v>3841.170106232712</v>
      </c>
      <c r="I269" s="52"/>
      <c r="J269" s="52">
        <v>5575.2331287275256</v>
      </c>
      <c r="K269" s="52">
        <v>5748.1715929521761</v>
      </c>
      <c r="L269" s="32"/>
    </row>
    <row r="270" spans="1:23" x14ac:dyDescent="0.25">
      <c r="A270" s="20">
        <v>2021</v>
      </c>
      <c r="B270" s="52">
        <v>3432</v>
      </c>
      <c r="C270" s="52">
        <v>3805</v>
      </c>
      <c r="D270" s="52">
        <v>2119</v>
      </c>
      <c r="E270" s="52">
        <v>3218</v>
      </c>
      <c r="F270" s="52"/>
      <c r="G270" s="52"/>
      <c r="H270" s="52">
        <v>4853</v>
      </c>
      <c r="I270" s="52"/>
      <c r="J270" s="52"/>
      <c r="K270" s="52">
        <v>8625</v>
      </c>
    </row>
    <row r="271" spans="1:23" x14ac:dyDescent="0.25">
      <c r="A271" s="20">
        <v>2022</v>
      </c>
      <c r="B271" s="52">
        <v>3970.260607218529</v>
      </c>
      <c r="C271" s="52">
        <v>4182.1983617194364</v>
      </c>
      <c r="D271" s="52">
        <v>2702.0723045535333</v>
      </c>
      <c r="E271" s="52">
        <v>4203.8557140795783</v>
      </c>
      <c r="F271" s="52">
        <v>0</v>
      </c>
      <c r="G271" s="52">
        <v>0</v>
      </c>
      <c r="H271" s="52">
        <v>6000.8681211288995</v>
      </c>
      <c r="I271" s="52">
        <v>0</v>
      </c>
      <c r="J271" s="52">
        <v>0</v>
      </c>
      <c r="K271" s="52">
        <v>10406.190140508936</v>
      </c>
    </row>
    <row r="272" spans="1:23" x14ac:dyDescent="0.25">
      <c r="A272" s="20">
        <v>2023</v>
      </c>
      <c r="B272" s="52">
        <v>3864.5139272527936</v>
      </c>
      <c r="C272" s="52">
        <v>4222.1346381870108</v>
      </c>
      <c r="D272" s="52">
        <v>3004.8954149827064</v>
      </c>
      <c r="E272" s="52">
        <v>4529.7656136791766</v>
      </c>
      <c r="F272" s="52">
        <v>0</v>
      </c>
      <c r="G272" s="52">
        <v>0</v>
      </c>
      <c r="H272" s="52">
        <v>5903.7352565326601</v>
      </c>
      <c r="I272" s="52">
        <v>2123.3042436046294</v>
      </c>
      <c r="J272" s="52">
        <v>0</v>
      </c>
      <c r="K272" s="52">
        <v>9328.5533796588752</v>
      </c>
    </row>
    <row r="273" spans="1:20" x14ac:dyDescent="0.25">
      <c r="A273" s="20">
        <v>2024</v>
      </c>
      <c r="B273" s="52">
        <v>3755.4784450911502</v>
      </c>
      <c r="C273" s="52">
        <v>4014.0593902162932</v>
      </c>
      <c r="D273" s="52">
        <v>2867.6963846784106</v>
      </c>
      <c r="E273" s="52">
        <v>3723.967092902355</v>
      </c>
      <c r="F273" s="52">
        <v>0</v>
      </c>
      <c r="G273" s="52">
        <v>0</v>
      </c>
      <c r="H273" s="52">
        <v>5663.629484554438</v>
      </c>
      <c r="I273" s="52">
        <v>2155.8145695364237</v>
      </c>
      <c r="J273" s="52">
        <v>0</v>
      </c>
      <c r="K273" s="52">
        <v>8383.232983893151</v>
      </c>
    </row>
    <row r="274" spans="1:20" x14ac:dyDescent="0.25">
      <c r="A274" s="17"/>
      <c r="B274" s="52"/>
      <c r="C274" s="52"/>
      <c r="D274" s="52"/>
      <c r="E274" s="52"/>
      <c r="F274" s="52"/>
      <c r="G274" s="52"/>
      <c r="H274" s="52"/>
      <c r="I274" s="52"/>
      <c r="J274" s="52"/>
      <c r="K274" s="52"/>
    </row>
    <row r="275" spans="1:20" x14ac:dyDescent="0.25">
      <c r="B275" s="46"/>
      <c r="C275" s="46"/>
      <c r="D275" s="46"/>
      <c r="E275" s="46"/>
      <c r="F275" s="46"/>
      <c r="G275" s="46"/>
      <c r="H275" s="46"/>
      <c r="I275" s="46"/>
      <c r="J275" s="46"/>
      <c r="K275" s="46"/>
    </row>
    <row r="276" spans="1:20" x14ac:dyDescent="0.25">
      <c r="B276" s="46"/>
      <c r="C276" s="46"/>
      <c r="D276" s="46"/>
      <c r="E276" s="46"/>
      <c r="F276" s="46"/>
      <c r="G276" s="46"/>
      <c r="H276" s="46"/>
      <c r="I276" s="46"/>
      <c r="J276" s="46"/>
      <c r="K276" s="46"/>
    </row>
    <row r="277" spans="1:20" x14ac:dyDescent="0.25">
      <c r="B277" s="46"/>
      <c r="C277" s="46"/>
      <c r="D277" s="46"/>
      <c r="E277" s="46"/>
      <c r="F277" s="46"/>
      <c r="G277" s="46"/>
      <c r="H277" s="46"/>
      <c r="I277" s="46"/>
      <c r="J277" s="46"/>
      <c r="K277" s="46"/>
    </row>
    <row r="278" spans="1:20" x14ac:dyDescent="0.25">
      <c r="B278" s="46"/>
      <c r="C278" s="46"/>
      <c r="D278" s="46"/>
      <c r="E278" s="46"/>
      <c r="F278" s="46"/>
      <c r="G278" s="46"/>
      <c r="H278" s="46"/>
      <c r="I278" s="46"/>
      <c r="J278" s="46"/>
      <c r="K278" s="46"/>
    </row>
    <row r="279" spans="1:20" x14ac:dyDescent="0.25">
      <c r="B279" s="46"/>
      <c r="C279" s="46"/>
      <c r="D279" s="46"/>
      <c r="E279" s="46"/>
      <c r="F279" s="46"/>
      <c r="G279" s="46"/>
      <c r="H279" s="46"/>
      <c r="I279" s="46"/>
      <c r="J279" s="46"/>
      <c r="K279" s="46"/>
    </row>
    <row r="280" spans="1:20" x14ac:dyDescent="0.25"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T280" s="2" t="s">
        <v>19</v>
      </c>
    </row>
    <row r="281" spans="1:20" x14ac:dyDescent="0.25">
      <c r="B281" s="46"/>
      <c r="C281" s="46"/>
      <c r="D281" s="46"/>
      <c r="E281" s="46"/>
      <c r="F281" s="46"/>
      <c r="G281" s="46"/>
      <c r="H281" s="46"/>
      <c r="I281" s="46"/>
      <c r="J281" s="46"/>
      <c r="K281" s="46"/>
    </row>
    <row r="282" spans="1:20" x14ac:dyDescent="0.25">
      <c r="B282" s="46"/>
      <c r="C282" s="46"/>
      <c r="D282" s="46"/>
      <c r="E282" s="46"/>
      <c r="F282" s="46"/>
      <c r="G282" s="46"/>
      <c r="H282" s="46"/>
      <c r="I282" s="46"/>
      <c r="J282" s="46"/>
      <c r="K282" s="46"/>
    </row>
    <row r="283" spans="1:20" x14ac:dyDescent="0.25">
      <c r="B283" s="46"/>
      <c r="C283" s="46"/>
      <c r="D283" s="46"/>
      <c r="E283" s="46"/>
      <c r="F283" s="46"/>
      <c r="G283" s="46"/>
      <c r="H283" s="46"/>
      <c r="I283" s="46"/>
      <c r="J283" s="46"/>
      <c r="K283" s="46"/>
    </row>
    <row r="284" spans="1:20" x14ac:dyDescent="0.25">
      <c r="B284" s="46"/>
      <c r="C284" s="46"/>
      <c r="D284" s="46"/>
      <c r="E284" s="46"/>
      <c r="F284" s="46"/>
      <c r="G284" s="46"/>
      <c r="H284" s="46"/>
      <c r="I284" s="46"/>
      <c r="J284" s="46"/>
      <c r="K284" s="46"/>
    </row>
    <row r="285" spans="1:20" x14ac:dyDescent="0.25">
      <c r="B285" s="46"/>
      <c r="C285" s="46"/>
      <c r="D285" s="46"/>
      <c r="E285" s="46"/>
      <c r="F285" s="46"/>
      <c r="G285" s="46"/>
      <c r="H285" s="46"/>
      <c r="I285" s="46"/>
      <c r="J285" s="46"/>
      <c r="K285" s="46"/>
    </row>
    <row r="286" spans="1:20" x14ac:dyDescent="0.25">
      <c r="B286" s="46"/>
      <c r="C286" s="46"/>
      <c r="D286" s="46"/>
      <c r="E286" s="46"/>
      <c r="F286" s="46"/>
      <c r="G286" s="46"/>
      <c r="H286" s="46"/>
      <c r="I286" s="46"/>
      <c r="J286" s="46"/>
      <c r="K286" s="46"/>
    </row>
    <row r="293" spans="1:20" s="3" customFormat="1" ht="5.25" customHeight="1" x14ac:dyDescent="0.25">
      <c r="T293" s="4"/>
    </row>
    <row r="295" spans="1:20" x14ac:dyDescent="0.25">
      <c r="A295" s="10"/>
      <c r="B295" s="8"/>
      <c r="C295" s="8"/>
      <c r="D295" s="8"/>
      <c r="E295" s="8"/>
      <c r="F295" s="8"/>
      <c r="G295" s="8"/>
      <c r="H295" s="8"/>
    </row>
    <row r="296" spans="1:20" x14ac:dyDescent="0.25">
      <c r="A296" s="11"/>
      <c r="B296" s="12"/>
      <c r="C296" s="12"/>
      <c r="D296" s="12"/>
      <c r="E296" s="12"/>
      <c r="F296" s="12"/>
      <c r="G296" s="12"/>
      <c r="H296" s="12"/>
    </row>
    <row r="297" spans="1:20" x14ac:dyDescent="0.25">
      <c r="A297" s="11"/>
      <c r="B297" s="12"/>
      <c r="C297" s="12"/>
      <c r="D297" s="12"/>
      <c r="E297" s="12"/>
      <c r="F297" s="12"/>
      <c r="G297" s="12"/>
      <c r="H297" s="12"/>
    </row>
    <row r="298" spans="1:20" x14ac:dyDescent="0.25">
      <c r="A298" s="11"/>
      <c r="B298" s="12"/>
      <c r="C298" s="12"/>
      <c r="D298" s="12"/>
      <c r="E298" s="12"/>
      <c r="F298" s="12"/>
      <c r="G298" s="12"/>
      <c r="H298" s="12"/>
    </row>
    <row r="299" spans="1:20" x14ac:dyDescent="0.25">
      <c r="A299" s="11"/>
      <c r="B299" s="12"/>
      <c r="C299" s="12"/>
      <c r="D299" s="12"/>
      <c r="E299" s="12"/>
      <c r="F299" s="12"/>
      <c r="G299" s="12"/>
      <c r="H299" s="12"/>
    </row>
    <row r="300" spans="1:20" x14ac:dyDescent="0.25">
      <c r="A300" s="11"/>
      <c r="B300" s="12"/>
      <c r="C300" s="12"/>
      <c r="D300" s="12"/>
      <c r="E300" s="12"/>
      <c r="F300" s="12"/>
      <c r="G300" s="12"/>
      <c r="H300" s="12"/>
    </row>
    <row r="301" spans="1:20" x14ac:dyDescent="0.25">
      <c r="A301" s="11"/>
      <c r="B301" s="12"/>
      <c r="C301" s="12"/>
      <c r="D301" s="12"/>
      <c r="E301" s="12"/>
      <c r="F301" s="12"/>
      <c r="G301" s="12"/>
      <c r="H301" s="12"/>
    </row>
    <row r="302" spans="1:20" x14ac:dyDescent="0.25">
      <c r="A302" s="11"/>
      <c r="B302" s="12"/>
      <c r="C302" s="12"/>
      <c r="D302" s="12"/>
      <c r="E302" s="12"/>
      <c r="F302" s="12"/>
      <c r="G302" s="12"/>
      <c r="H302" s="12"/>
    </row>
    <row r="303" spans="1:20" x14ac:dyDescent="0.25">
      <c r="A303" s="11"/>
      <c r="B303" s="12"/>
      <c r="C303" s="12"/>
      <c r="D303" s="12"/>
      <c r="E303" s="12"/>
      <c r="F303" s="12"/>
      <c r="G303" s="12"/>
      <c r="H303" s="12"/>
    </row>
    <row r="304" spans="1:20" x14ac:dyDescent="0.25">
      <c r="A304" s="11"/>
      <c r="B304" s="12"/>
      <c r="C304" s="12"/>
      <c r="D304" s="12"/>
      <c r="E304" s="12"/>
      <c r="F304" s="12"/>
      <c r="G304" s="12"/>
      <c r="H304" s="12"/>
    </row>
    <row r="323" spans="20:20" s="3" customFormat="1" ht="5.25" customHeight="1" x14ac:dyDescent="0.25">
      <c r="T323" s="4"/>
    </row>
  </sheetData>
  <phoneticPr fontId="1" type="noConversion"/>
  <printOptions horizontalCentered="1" verticalCentered="1"/>
  <pageMargins left="0.74803149606299213" right="3.937007874015748E-2" top="0.6692913385826772" bottom="0.98425196850393704" header="0.51181102362204722" footer="0.51181102362204722"/>
  <pageSetup paperSize="9" scale="80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16" sqref="O1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rūpniecība</vt:lpstr>
      <vt:lpstr>Sheet1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Sintija Biša</cp:lastModifiedBy>
  <cp:lastPrinted>2005-05-23T10:45:02Z</cp:lastPrinted>
  <dcterms:created xsi:type="dcterms:W3CDTF">2005-05-23T10:39:36Z</dcterms:created>
  <dcterms:modified xsi:type="dcterms:W3CDTF">2025-07-08T07:13:37Z</dcterms:modified>
</cp:coreProperties>
</file>