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Bisa\Downloads\"/>
    </mc:Choice>
  </mc:AlternateContent>
  <xr:revisionPtr revIDLastSave="0" documentId="8_{409BA420-631B-4B97-81E1-CF10977F4DDB}" xr6:coauthVersionLast="47" xr6:coauthVersionMax="47" xr10:uidLastSave="{00000000-0000-0000-0000-000000000000}"/>
  <bookViews>
    <workbookView xWindow="28680" yWindow="-120" windowWidth="29040" windowHeight="15720" tabRatio="905" xr2:uid="{00000000-000D-0000-FFFF-FFFF00000000}"/>
  </bookViews>
  <sheets>
    <sheet name="rūpniecība" sheetId="1" r:id="rId1"/>
    <sheet name="Sheet1" sheetId="2" r:id="rId2"/>
  </sheets>
  <externalReferences>
    <externalReference r:id="rId3"/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53" i="1" l="1"/>
  <c r="K167" i="1" l="1"/>
  <c r="J167" i="1"/>
  <c r="I167" i="1"/>
  <c r="H167" i="1"/>
  <c r="F167" i="1"/>
  <c r="E167" i="1"/>
  <c r="D167" i="1"/>
  <c r="C167" i="1"/>
  <c r="B167" i="1"/>
  <c r="K240" i="1"/>
  <c r="K238" i="1"/>
  <c r="K237" i="1"/>
  <c r="K236" i="1"/>
  <c r="I240" i="1"/>
  <c r="I239" i="1"/>
  <c r="I238" i="1"/>
  <c r="I237" i="1"/>
  <c r="I236" i="1"/>
  <c r="H240" i="1"/>
  <c r="H239" i="1"/>
  <c r="H238" i="1"/>
  <c r="H237" i="1"/>
  <c r="H236" i="1"/>
  <c r="G240" i="1"/>
  <c r="G239" i="1"/>
  <c r="G238" i="1"/>
  <c r="G237" i="1"/>
  <c r="G236" i="1"/>
  <c r="E240" i="1"/>
  <c r="E239" i="1"/>
  <c r="E238" i="1"/>
  <c r="E237" i="1"/>
  <c r="E236" i="1"/>
  <c r="D240" i="1"/>
  <c r="D239" i="1"/>
  <c r="D238" i="1"/>
  <c r="D237" i="1"/>
  <c r="D236" i="1"/>
  <c r="C240" i="1"/>
  <c r="C239" i="1"/>
  <c r="C238" i="1"/>
  <c r="C237" i="1"/>
  <c r="C236" i="1"/>
  <c r="B240" i="1"/>
  <c r="B239" i="1"/>
  <c r="B238" i="1"/>
  <c r="B237" i="1"/>
  <c r="B236" i="1"/>
  <c r="K200" i="1"/>
  <c r="K199" i="1"/>
  <c r="K198" i="1"/>
  <c r="K197" i="1"/>
  <c r="K196" i="1"/>
  <c r="I200" i="1"/>
  <c r="I199" i="1"/>
  <c r="I198" i="1"/>
  <c r="I197" i="1"/>
  <c r="I196" i="1"/>
  <c r="H200" i="1"/>
  <c r="H199" i="1"/>
  <c r="H198" i="1"/>
  <c r="H197" i="1"/>
  <c r="H196" i="1"/>
  <c r="G200" i="1"/>
  <c r="G199" i="1"/>
  <c r="G198" i="1"/>
  <c r="G197" i="1"/>
  <c r="G196" i="1"/>
  <c r="E200" i="1"/>
  <c r="E199" i="1"/>
  <c r="E198" i="1"/>
  <c r="E197" i="1"/>
  <c r="E196" i="1"/>
  <c r="D200" i="1"/>
  <c r="D199" i="1"/>
  <c r="D198" i="1"/>
  <c r="D197" i="1"/>
  <c r="D196" i="1"/>
  <c r="C200" i="1"/>
  <c r="C199" i="1"/>
  <c r="C198" i="1"/>
  <c r="C197" i="1"/>
  <c r="C196" i="1"/>
  <c r="B200" i="1"/>
  <c r="B199" i="1"/>
  <c r="B198" i="1"/>
  <c r="B197" i="1"/>
  <c r="B196" i="1"/>
  <c r="K156" i="1"/>
  <c r="K155" i="1"/>
  <c r="K154" i="1"/>
  <c r="K153" i="1"/>
  <c r="K152" i="1"/>
  <c r="I156" i="1"/>
  <c r="I155" i="1"/>
  <c r="I154" i="1"/>
  <c r="I153" i="1"/>
  <c r="I152" i="1"/>
  <c r="H156" i="1"/>
  <c r="H155" i="1"/>
  <c r="H154" i="1"/>
  <c r="H153" i="1"/>
  <c r="H152" i="1"/>
  <c r="G156" i="1"/>
  <c r="G155" i="1"/>
  <c r="G154" i="1"/>
  <c r="G153" i="1"/>
  <c r="G152" i="1"/>
  <c r="E156" i="1"/>
  <c r="E155" i="1"/>
  <c r="E154" i="1"/>
  <c r="E153" i="1"/>
  <c r="E152" i="1"/>
  <c r="D156" i="1"/>
  <c r="D155" i="1"/>
  <c r="D154" i="1"/>
  <c r="D153" i="1"/>
  <c r="D152" i="1"/>
  <c r="C156" i="1"/>
  <c r="C155" i="1"/>
  <c r="C154" i="1"/>
  <c r="C153" i="1"/>
  <c r="C152" i="1"/>
  <c r="B156" i="1"/>
  <c r="B155" i="1"/>
  <c r="B154" i="1"/>
  <c r="B153" i="1"/>
  <c r="B152" i="1"/>
  <c r="G112" i="1"/>
  <c r="G67" i="1"/>
</calcChain>
</file>

<file path=xl/sharedStrings.xml><?xml version="1.0" encoding="utf-8"?>
<sst xmlns="http://schemas.openxmlformats.org/spreadsheetml/2006/main" count="78" uniqueCount="21">
  <si>
    <t>Latvija</t>
  </si>
  <si>
    <t>Liepāja</t>
  </si>
  <si>
    <t>Rīga</t>
  </si>
  <si>
    <t>Daugavpils</t>
  </si>
  <si>
    <t>Jelgava</t>
  </si>
  <si>
    <t>Jūrmala</t>
  </si>
  <si>
    <t>Rēzekne</t>
  </si>
  <si>
    <t>Ventspils</t>
  </si>
  <si>
    <t>2003</t>
  </si>
  <si>
    <t>2004</t>
  </si>
  <si>
    <t>2005</t>
  </si>
  <si>
    <t>Jēkabpils</t>
  </si>
  <si>
    <t>Valmiera</t>
  </si>
  <si>
    <t>Rūpniecības produkcijas izlaide</t>
  </si>
  <si>
    <t>Pašražoto preču realizācija kopā, tai skaitā:</t>
  </si>
  <si>
    <t xml:space="preserve">          vietējā tirgū</t>
  </si>
  <si>
    <t xml:space="preserve">          eksports</t>
  </si>
  <si>
    <t xml:space="preserve">Rūpniecības produkcijas izlaide, </t>
  </si>
  <si>
    <t xml:space="preserve">          eksports:</t>
  </si>
  <si>
    <t xml:space="preserve"> </t>
  </si>
  <si>
    <t>Jūrmla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</si>
</sst>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 ;[Red]\-#,##0.0\ "/>
    <numFmt numFmtId="165" formatCode="#,##0_ ;[Red]\-#,##0\ "/>
    <numFmt numFmtId="166" formatCode="0.0"/>
    <numFmt numFmtId="167" formatCode="#,##0.00_ ;[Red]\-#,##0.00\ "/>
  </numFmts>
  <fonts count="6" x14ac:knownFonts="1">
    <font>
      <sz val="10"/>
      <name val="Times New Roman"/>
      <charset val="186"/>
    </font>
    <font>
      <sz val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"/>
      <family val="1"/>
    </font>
    <font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0" fontId="4" fillId="2" borderId="0" xfId="0" applyFont="1" applyFill="1"/>
    <xf numFmtId="165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167" fontId="3" fillId="2" borderId="0" xfId="0" applyNumberFormat="1" applyFont="1" applyFill="1"/>
    <xf numFmtId="166" fontId="0" fillId="2" borderId="0" xfId="0" applyNumberFormat="1" applyFill="1"/>
    <xf numFmtId="165" fontId="5" fillId="2" borderId="0" xfId="0" applyNumberFormat="1" applyFont="1" applyFill="1" applyAlignment="1">
      <alignment horizontal="center" wrapText="1"/>
    </xf>
    <xf numFmtId="165" fontId="5" fillId="2" borderId="0" xfId="0" applyNumberFormat="1" applyFont="1" applyFill="1" applyAlignment="1">
      <alignment horizontal="left" wrapText="1"/>
    </xf>
    <xf numFmtId="0" fontId="5" fillId="2" borderId="0" xfId="0" applyFont="1" applyFill="1"/>
    <xf numFmtId="0" fontId="0" fillId="2" borderId="1" xfId="0" applyFill="1" applyBorder="1"/>
    <xf numFmtId="49" fontId="5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2" fillId="2" borderId="1" xfId="0" applyNumberFormat="1" applyFont="1" applyFill="1" applyBorder="1"/>
    <xf numFmtId="165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1" fontId="0" fillId="2" borderId="1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4" fillId="2" borderId="1" xfId="0" applyFont="1" applyFill="1" applyBorder="1"/>
    <xf numFmtId="166" fontId="0" fillId="2" borderId="1" xfId="0" applyNumberFormat="1" applyFill="1" applyBorder="1"/>
    <xf numFmtId="0" fontId="4" fillId="2" borderId="2" xfId="0" applyFont="1" applyFill="1" applyBorder="1" applyAlignment="1">
      <alignment horizontal="center" wrapText="1"/>
    </xf>
    <xf numFmtId="0" fontId="0" fillId="2" borderId="0" xfId="0" applyFill="1" applyAlignment="1">
      <alignment horizontal="left"/>
    </xf>
    <xf numFmtId="166" fontId="3" fillId="2" borderId="0" xfId="0" applyNumberFormat="1" applyFont="1" applyFill="1"/>
    <xf numFmtId="0" fontId="0" fillId="2" borderId="3" xfId="0" applyFill="1" applyBorder="1" applyAlignment="1">
      <alignment horizontal="left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2" xfId="0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0" xfId="0" applyNumberFormat="1" applyFill="1"/>
    <xf numFmtId="3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 vertical="center"/>
    </xf>
    <xf numFmtId="3" fontId="5" fillId="2" borderId="0" xfId="0" applyNumberFormat="1" applyFont="1" applyFill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ysClr val="windowText" lastClr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>
                <a:solidFill>
                  <a:sysClr val="windowText" lastClr="000000"/>
                </a:solidFill>
              </a:rPr>
              <a:t>Apstrādes rūpniecības produkcijas izlaide (% no saražotā kopapjoma Latvijā)</a:t>
            </a:r>
          </a:p>
        </c:rich>
      </c:tx>
      <c:layout>
        <c:manualLayout>
          <c:xMode val="edge"/>
          <c:yMode val="edge"/>
          <c:x val="0.33713117942808746"/>
          <c:y val="1.775187192510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51132497326724"/>
          <c:y val="6.6350261263213653E-2"/>
          <c:w val="0.84464994201306243"/>
          <c:h val="0.48550809936636707"/>
        </c:manualLayout>
      </c:layout>
      <c:lineChart>
        <c:grouping val="standard"/>
        <c:varyColors val="0"/>
        <c:ser>
          <c:idx val="1"/>
          <c:order val="0"/>
          <c:tx>
            <c:strRef>
              <c:f>rūpniecība!$B$66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rūpniecība!$A$67:$A$89</c:f>
              <c:str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rūpniecība!$B$67:$B$89</c:f>
              <c:numCache>
                <c:formatCode>#\ ##0.0_ ;[Red]\-#\ ##0.0\ </c:formatCode>
                <c:ptCount val="7"/>
                <c:pt idx="0">
                  <c:v>47.5</c:v>
                </c:pt>
                <c:pt idx="1">
                  <c:v>45.8</c:v>
                </c:pt>
                <c:pt idx="2" formatCode="General">
                  <c:v>41.3</c:v>
                </c:pt>
                <c:pt idx="3" formatCode="General">
                  <c:v>38.9</c:v>
                </c:pt>
                <c:pt idx="4" formatCode="General">
                  <c:v>35.5</c:v>
                </c:pt>
                <c:pt idx="5" formatCode="General">
                  <c:v>34.299999999999997</c:v>
                </c:pt>
                <c:pt idx="6" formatCode="General">
                  <c:v>32.5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716-4693-8870-3AE86707C762}"/>
            </c:ext>
          </c:extLst>
        </c:ser>
        <c:ser>
          <c:idx val="2"/>
          <c:order val="1"/>
          <c:tx>
            <c:strRef>
              <c:f>rūpniecība!$C$66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rūpniecība!$A$67:$A$89</c:f>
              <c:str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rūpniecība!$C$67:$C$89</c:f>
              <c:numCache>
                <c:formatCode>#\ ##0.0_ ;[Red]\-#\ ##0.0\ </c:formatCode>
                <c:ptCount val="7"/>
                <c:pt idx="0">
                  <c:v>2.9</c:v>
                </c:pt>
                <c:pt idx="1">
                  <c:v>3.4</c:v>
                </c:pt>
                <c:pt idx="2" formatCode="General">
                  <c:v>2.6</c:v>
                </c:pt>
                <c:pt idx="3" formatCode="General">
                  <c:v>2.5</c:v>
                </c:pt>
                <c:pt idx="4" formatCode="General">
                  <c:v>2.8</c:v>
                </c:pt>
                <c:pt idx="5" formatCode="General">
                  <c:v>2.5</c:v>
                </c:pt>
                <c:pt idx="6" formatCode="General">
                  <c:v>2.7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716-4693-8870-3AE86707C762}"/>
            </c:ext>
          </c:extLst>
        </c:ser>
        <c:ser>
          <c:idx val="3"/>
          <c:order val="2"/>
          <c:tx>
            <c:strRef>
              <c:f>rūpniecība!$D$66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rūpniecība!$A$67:$A$89</c:f>
              <c:str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rūpniecība!$D$67:$D$89</c:f>
              <c:numCache>
                <c:formatCode>#\ ##0.0_ ;[Red]\-#\ ##0.0\ </c:formatCode>
                <c:ptCount val="7"/>
                <c:pt idx="0">
                  <c:v>3.2</c:v>
                </c:pt>
                <c:pt idx="1">
                  <c:v>2.2000000000000002</c:v>
                </c:pt>
                <c:pt idx="2">
                  <c:v>1.6</c:v>
                </c:pt>
                <c:pt idx="3" formatCode="General">
                  <c:v>2.2000000000000002</c:v>
                </c:pt>
                <c:pt idx="4" formatCode="General">
                  <c:v>2.8</c:v>
                </c:pt>
                <c:pt idx="5" formatCode="General">
                  <c:v>2.8</c:v>
                </c:pt>
                <c:pt idx="6" formatCode="General">
                  <c:v>2.9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716-4693-8870-3AE86707C762}"/>
            </c:ext>
          </c:extLst>
        </c:ser>
        <c:ser>
          <c:idx val="0"/>
          <c:order val="3"/>
          <c:tx>
            <c:strRef>
              <c:f>rūpniecība!$E$66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2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rūpniecība!$A$67:$A$89</c:f>
              <c:str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rūpniecība!$E$67:$E$89</c:f>
              <c:numCache>
                <c:formatCode>General</c:formatCode>
                <c:ptCount val="7"/>
                <c:pt idx="3">
                  <c:v>0.6</c:v>
                </c:pt>
                <c:pt idx="4">
                  <c:v>0.6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716-4693-8870-3AE86707C762}"/>
            </c:ext>
          </c:extLst>
        </c:ser>
        <c:ser>
          <c:idx val="4"/>
          <c:order val="4"/>
          <c:tx>
            <c:strRef>
              <c:f>rūpniecība!$F$66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rūpniecība!$A$67:$A$89</c:f>
              <c:str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rūpniecība!$F$67:$F$89</c:f>
              <c:numCache>
                <c:formatCode>#\ ##0.0_ ;[Red]\-#\ ##0.0\ </c:formatCode>
                <c:ptCount val="7"/>
                <c:pt idx="0">
                  <c:v>1.4</c:v>
                </c:pt>
                <c:pt idx="1">
                  <c:v>0.5</c:v>
                </c:pt>
                <c:pt idx="2" formatCode="General">
                  <c:v>0.3</c:v>
                </c:pt>
                <c:pt idx="5" formatCode="General">
                  <c:v>0.2</c:v>
                </c:pt>
                <c:pt idx="6" formatCode="General">
                  <c:v>0.2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9716-4693-8870-3AE86707C762}"/>
            </c:ext>
          </c:extLst>
        </c:ser>
        <c:ser>
          <c:idx val="5"/>
          <c:order val="5"/>
          <c:tx>
            <c:strRef>
              <c:f>rūpniecība!$G$66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rūpniecība!$A$67:$A$89</c:f>
              <c:str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rūpniecība!$G$67:$G$89</c:f>
              <c:numCache>
                <c:formatCode>#\ ##0.0_ ;[Red]\-#\ ##0.0\ </c:formatCode>
                <c:ptCount val="7"/>
                <c:pt idx="0">
                  <c:v>8.8000000000000007</c:v>
                </c:pt>
                <c:pt idx="1">
                  <c:v>9.5</c:v>
                </c:pt>
                <c:pt idx="2" formatCode="General">
                  <c:v>9.8000000000000007</c:v>
                </c:pt>
                <c:pt idx="3" formatCode="General">
                  <c:v>4.3</c:v>
                </c:pt>
                <c:pt idx="4" formatCode="General">
                  <c:v>4.4000000000000004</c:v>
                </c:pt>
                <c:pt idx="5" formatCode="General">
                  <c:v>4.4000000000000004</c:v>
                </c:pt>
                <c:pt idx="6" formatCode="General">
                  <c:v>4.5999999999999996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9716-4693-8870-3AE86707C762}"/>
            </c:ext>
          </c:extLst>
        </c:ser>
        <c:ser>
          <c:idx val="6"/>
          <c:order val="6"/>
          <c:tx>
            <c:strRef>
              <c:f>rūpniecība!$H$66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rūpniecība!$A$67:$A$89</c:f>
              <c:str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rūpniecība!$H$67:$H$89</c:f>
              <c:numCache>
                <c:formatCode>#\ ##0.0_ ;[Red]\-#\ ##0.0\ </c:formatCode>
                <c:ptCount val="7"/>
                <c:pt idx="0">
                  <c:v>1.4</c:v>
                </c:pt>
                <c:pt idx="1">
                  <c:v>1.4</c:v>
                </c:pt>
                <c:pt idx="2" formatCode="General">
                  <c:v>0.9</c:v>
                </c:pt>
                <c:pt idx="3" formatCode="General">
                  <c:v>0.9</c:v>
                </c:pt>
                <c:pt idx="4" formatCode="General">
                  <c:v>1.3</c:v>
                </c:pt>
                <c:pt idx="5" formatCode="General">
                  <c:v>1.4</c:v>
                </c:pt>
                <c:pt idx="6" formatCode="General">
                  <c:v>1.6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9716-4693-8870-3AE86707C762}"/>
            </c:ext>
          </c:extLst>
        </c:ser>
        <c:ser>
          <c:idx val="8"/>
          <c:order val="7"/>
          <c:tx>
            <c:strRef>
              <c:f>rūpniecība!$I$66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rūpniecība!$A$67:$A$89</c:f>
              <c:str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rūpniecība!$I$67:$I$89</c:f>
              <c:numCache>
                <c:formatCode>General</c:formatCode>
                <c:ptCount val="7"/>
                <c:pt idx="3">
                  <c:v>2.7</c:v>
                </c:pt>
                <c:pt idx="4" formatCode="0.0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716-4693-8870-3AE86707C762}"/>
            </c:ext>
          </c:extLst>
        </c:ser>
        <c:ser>
          <c:idx val="7"/>
          <c:order val="8"/>
          <c:tx>
            <c:strRef>
              <c:f>rūpniecība!$J$66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rūpniecība!$A$67:$A$89</c:f>
              <c:str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rūpniecība!$J$67:$J$89</c:f>
              <c:numCache>
                <c:formatCode>#\ ##0.0_ ;[Red]\-#\ ##0.0\ </c:formatCode>
                <c:ptCount val="7"/>
                <c:pt idx="0">
                  <c:v>0.4</c:v>
                </c:pt>
                <c:pt idx="1">
                  <c:v>0.2</c:v>
                </c:pt>
                <c:pt idx="2" formatCode="General">
                  <c:v>1.8</c:v>
                </c:pt>
                <c:pt idx="3" formatCode="General">
                  <c:v>2.4</c:v>
                </c:pt>
                <c:pt idx="4" formatCode="General">
                  <c:v>3.1</c:v>
                </c:pt>
                <c:pt idx="5" formatCode="General">
                  <c:v>3.8</c:v>
                </c:pt>
                <c:pt idx="6" formatCode="General">
                  <c:v>3.6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9716-4693-8870-3AE86707C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360928"/>
        <c:axId val="1198368000"/>
      </c:lineChart>
      <c:catAx>
        <c:axId val="11983609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19836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8368000"/>
        <c:scaling>
          <c:orientation val="minMax"/>
          <c:max val="12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.0_ ;[Red]\-#\ ##0.0\ " sourceLinked="1"/>
        <c:majorTickMark val="out"/>
        <c:minorTickMark val="none"/>
        <c:tickLblPos val="nextTo"/>
        <c:crossAx val="1198360928"/>
        <c:crosses val="autoZero"/>
        <c:crossBetween val="between"/>
        <c:majorUnit val="1.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975" b="0" i="0" u="none" strike="noStrike" baseline="0">
                <a:solidFill>
                  <a:sysClr val="windowText" lastClr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FFFFCC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ysClr val="windowText" lastClr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>
                <a:solidFill>
                  <a:sysClr val="windowText" lastClr="000000"/>
                </a:solidFill>
              </a:rPr>
              <a:t>Apstrādes rūpniecības produkcijas izlaides dinamika (% pret 2000.gadu)</a:t>
            </a:r>
          </a:p>
        </c:rich>
      </c:tx>
      <c:layout>
        <c:manualLayout>
          <c:xMode val="edge"/>
          <c:yMode val="edge"/>
          <c:x val="0.28236033347613915"/>
          <c:y val="1.077444433369879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rūpniecība!$B$109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rūpniecība!$A$110:$A$131</c:f>
              <c:strCache>
                <c:ptCount val="7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rūpniecība!$B$110:$B$131</c:f>
              <c:numCache>
                <c:formatCode>#\ ##0_ ;[Red]\-#\ ##0\ </c:formatCode>
                <c:ptCount val="7"/>
                <c:pt idx="0">
                  <c:v>116.35599999999999</c:v>
                </c:pt>
                <c:pt idx="1">
                  <c:v>211.91</c:v>
                </c:pt>
                <c:pt idx="2" formatCode="0">
                  <c:v>262.00900000000001</c:v>
                </c:pt>
                <c:pt idx="3" formatCode="General">
                  <c:v>336</c:v>
                </c:pt>
                <c:pt idx="4" formatCode="0">
                  <c:v>435.9</c:v>
                </c:pt>
                <c:pt idx="5" formatCode="0">
                  <c:v>528.1</c:v>
                </c:pt>
                <c:pt idx="6" formatCode="General">
                  <c:v>627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1D0-48D3-B119-9207868BA6E7}"/>
            </c:ext>
          </c:extLst>
        </c:ser>
        <c:ser>
          <c:idx val="1"/>
          <c:order val="1"/>
          <c:tx>
            <c:strRef>
              <c:f>rūpniecība!$C$109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rūpniecība!$A$110:$A$131</c:f>
              <c:strCache>
                <c:ptCount val="7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rūpniecība!$C$110:$C$131</c:f>
              <c:numCache>
                <c:formatCode>#\ ##0_ ;[Red]\-#\ ##0\ </c:formatCode>
                <c:ptCount val="7"/>
                <c:pt idx="0">
                  <c:v>116.48</c:v>
                </c:pt>
                <c:pt idx="1">
                  <c:v>204.65</c:v>
                </c:pt>
                <c:pt idx="2" formatCode="0">
                  <c:v>228.07499999999999</c:v>
                </c:pt>
                <c:pt idx="3" formatCode="General">
                  <c:v>275</c:v>
                </c:pt>
                <c:pt idx="4" formatCode="0">
                  <c:v>325.8</c:v>
                </c:pt>
                <c:pt idx="5" formatCode="0">
                  <c:v>382</c:v>
                </c:pt>
                <c:pt idx="6" formatCode="General">
                  <c:v>429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1D0-48D3-B119-9207868BA6E7}"/>
            </c:ext>
          </c:extLst>
        </c:ser>
        <c:ser>
          <c:idx val="2"/>
          <c:order val="2"/>
          <c:tx>
            <c:strRef>
              <c:f>rūpniecība!$D$109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rūpniecība!$A$110:$A$131</c:f>
              <c:strCache>
                <c:ptCount val="7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rūpniecība!$D$110:$D$131</c:f>
              <c:numCache>
                <c:formatCode>#\ ##0_ ;[Red]\-#\ ##0\ </c:formatCode>
                <c:ptCount val="7"/>
                <c:pt idx="0">
                  <c:v>122.11</c:v>
                </c:pt>
                <c:pt idx="1">
                  <c:v>248.06</c:v>
                </c:pt>
                <c:pt idx="2" formatCode="0">
                  <c:v>238.321</c:v>
                </c:pt>
                <c:pt idx="3" formatCode="0">
                  <c:v>293.39999999999998</c:v>
                </c:pt>
                <c:pt idx="4" formatCode="0">
                  <c:v>416.2</c:v>
                </c:pt>
                <c:pt idx="5" formatCode="0">
                  <c:v>451.6</c:v>
                </c:pt>
                <c:pt idx="6" formatCode="General">
                  <c:v>574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1D0-48D3-B119-9207868BA6E7}"/>
            </c:ext>
          </c:extLst>
        </c:ser>
        <c:ser>
          <c:idx val="3"/>
          <c:order val="3"/>
          <c:tx>
            <c:strRef>
              <c:f>rūpniecība!$E$109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rūpniecība!$A$110:$A$131</c:f>
              <c:strCache>
                <c:ptCount val="7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rūpniecība!$E$110:$E$131</c:f>
              <c:numCache>
                <c:formatCode>#\ ##0_ ;[Red]\-#\ ##0\ </c:formatCode>
                <c:ptCount val="7"/>
                <c:pt idx="0">
                  <c:v>97.23</c:v>
                </c:pt>
                <c:pt idx="1">
                  <c:v>146.93</c:v>
                </c:pt>
                <c:pt idx="2" formatCode="0">
                  <c:v>130.809</c:v>
                </c:pt>
                <c:pt idx="3" formatCode="General">
                  <c:v>230</c:v>
                </c:pt>
                <c:pt idx="4" formatCode="0">
                  <c:v>387.8</c:v>
                </c:pt>
                <c:pt idx="5" formatCode="0">
                  <c:v>462.6</c:v>
                </c:pt>
                <c:pt idx="6" formatCode="General">
                  <c:v>568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1D0-48D3-B119-9207868BA6E7}"/>
            </c:ext>
          </c:extLst>
        </c:ser>
        <c:ser>
          <c:idx val="4"/>
          <c:order val="4"/>
          <c:tx>
            <c:strRef>
              <c:f>rūpniecība!$F$109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rūpniecība!$A$110:$A$131</c:f>
              <c:strCache>
                <c:ptCount val="7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rūpniecība!$F$110:$F$131</c:f>
              <c:numCache>
                <c:formatCode>#\ ##0_ ;[Red]\-#\ ##0\ </c:formatCode>
                <c:ptCount val="7"/>
                <c:pt idx="0">
                  <c:v>99.22</c:v>
                </c:pt>
                <c:pt idx="1">
                  <c:v>72.17</c:v>
                </c:pt>
                <c:pt idx="2" formatCode="0">
                  <c:v>55.987000000000002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11D0-48D3-B119-9207868BA6E7}"/>
            </c:ext>
          </c:extLst>
        </c:ser>
        <c:ser>
          <c:idx val="5"/>
          <c:order val="5"/>
          <c:tx>
            <c:strRef>
              <c:f>rūpniecība!$G$109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rūpniecība!$A$110:$A$131</c:f>
              <c:strCache>
                <c:ptCount val="7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rūpniecība!$G$110:$G$131</c:f>
              <c:numCache>
                <c:formatCode>#\ ##0_ ;[Red]\-#\ ##0\ </c:formatCode>
                <c:ptCount val="7"/>
                <c:pt idx="0">
                  <c:v>110.49299999999999</c:v>
                </c:pt>
                <c:pt idx="1">
                  <c:v>232.154</c:v>
                </c:pt>
                <c:pt idx="2">
                  <c:v>297.22199999999998</c:v>
                </c:pt>
                <c:pt idx="3" formatCode="General">
                  <c:v>167</c:v>
                </c:pt>
                <c:pt idx="4" formatCode="0">
                  <c:v>221.1</c:v>
                </c:pt>
                <c:pt idx="5" formatCode="0">
                  <c:v>268.8</c:v>
                </c:pt>
                <c:pt idx="6" formatCode="General">
                  <c:v>334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11D0-48D3-B119-9207868BA6E7}"/>
            </c:ext>
          </c:extLst>
        </c:ser>
        <c:ser>
          <c:idx val="6"/>
          <c:order val="6"/>
          <c:tx>
            <c:strRef>
              <c:f>rūpniecība!$H$109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rūpniecība!$A$110:$A$131</c:f>
              <c:strCache>
                <c:ptCount val="7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rūpniecība!$H$110:$H$131</c:f>
              <c:numCache>
                <c:formatCode>#\ ##0_ ;[Red]\-#\ ##0\ </c:formatCode>
                <c:ptCount val="7"/>
                <c:pt idx="0">
                  <c:v>112.371</c:v>
                </c:pt>
                <c:pt idx="1">
                  <c:v>222.47800000000001</c:v>
                </c:pt>
                <c:pt idx="2">
                  <c:v>177.376</c:v>
                </c:pt>
                <c:pt idx="3" formatCode="0">
                  <c:v>266.60000000000002</c:v>
                </c:pt>
                <c:pt idx="4" formatCode="0">
                  <c:v>432.7</c:v>
                </c:pt>
                <c:pt idx="5" formatCode="0">
                  <c:v>531.9</c:v>
                </c:pt>
                <c:pt idx="6" formatCode="General">
                  <c:v>753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11D0-48D3-B119-9207868BA6E7}"/>
            </c:ext>
          </c:extLst>
        </c:ser>
        <c:ser>
          <c:idx val="7"/>
          <c:order val="7"/>
          <c:tx>
            <c:strRef>
              <c:f>rūpniecība!$I$109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B0F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rūpniecība!$A$110:$A$131</c:f>
              <c:strCache>
                <c:ptCount val="7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rūpniecība!$I$110:$I$131</c:f>
              <c:numCache>
                <c:formatCode>#\ ##0_ ;[Red]\-#\ ##0\ </c:formatCode>
                <c:ptCount val="7"/>
                <c:pt idx="0">
                  <c:v>80.146000000000001</c:v>
                </c:pt>
                <c:pt idx="1">
                  <c:v>223.148</c:v>
                </c:pt>
                <c:pt idx="2">
                  <c:v>1169.549</c:v>
                </c:pt>
                <c:pt idx="3" formatCode="0">
                  <c:v>2009.7</c:v>
                </c:pt>
                <c:pt idx="4" formatCode="0">
                  <c:v>3436.5</c:v>
                </c:pt>
                <c:pt idx="5" formatCode="0">
                  <c:v>5089.2</c:v>
                </c:pt>
                <c:pt idx="6" formatCode="General">
                  <c:v>5690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11D0-48D3-B119-9207868BA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372896"/>
        <c:axId val="1198366368"/>
      </c:lineChart>
      <c:catAx>
        <c:axId val="119837289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19836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8366368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_ ;[Red]\-#\ ##0\ " sourceLinked="1"/>
        <c:majorTickMark val="out"/>
        <c:minorTickMark val="none"/>
        <c:tickLblPos val="nextTo"/>
        <c:crossAx val="1198372896"/>
        <c:crosses val="autoZero"/>
        <c:crossBetween val="between"/>
        <c:majorUnit val="8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ysClr val="windowText" lastClr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FFFFCC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ysClr val="windowText" lastClr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>
                <a:solidFill>
                  <a:sysClr val="windowText" lastClr="000000"/>
                </a:solidFill>
              </a:rPr>
              <a:t>Apstrādes rūpniecības produkcijas izlaide (EUR uz 1 iedzīvotāju)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30821147356581"/>
          <c:y val="7.6495550992470907E-2"/>
          <c:w val="0.86295243582357084"/>
          <c:h val="0.49777037623890441"/>
        </c:manualLayout>
      </c:layout>
      <c:lineChart>
        <c:grouping val="standard"/>
        <c:varyColors val="0"/>
        <c:ser>
          <c:idx val="0"/>
          <c:order val="0"/>
          <c:tx>
            <c:strRef>
              <c:f>rūpniecība!$B$151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rūpniecība!$A$152:$A$174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rūpniecība!$B$152:$B$174</c:f>
              <c:numCache>
                <c:formatCode>#,##0</c:formatCode>
                <c:ptCount val="11"/>
                <c:pt idx="0">
                  <c:v>747.00770058223918</c:v>
                </c:pt>
                <c:pt idx="1">
                  <c:v>1680</c:v>
                </c:pt>
                <c:pt idx="2">
                  <c:v>2230</c:v>
                </c:pt>
                <c:pt idx="3">
                  <c:v>3013.4037462473789</c:v>
                </c:pt>
                <c:pt idx="4">
                  <c:v>3113</c:v>
                </c:pt>
                <c:pt idx="5">
                  <c:v>3509</c:v>
                </c:pt>
                <c:pt idx="6">
                  <c:v>3816</c:v>
                </c:pt>
                <c:pt idx="7">
                  <c:v>3980.751228589776</c:v>
                </c:pt>
                <c:pt idx="8">
                  <c:v>4065.9500227918211</c:v>
                </c:pt>
                <c:pt idx="9">
                  <c:v>4972</c:v>
                </c:pt>
                <c:pt idx="10">
                  <c:v>5881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CD4-4EB2-965F-E8483E933DF0}"/>
            </c:ext>
          </c:extLst>
        </c:ser>
        <c:ser>
          <c:idx val="1"/>
          <c:order val="1"/>
          <c:tx>
            <c:strRef>
              <c:f>rūpniecība!$C$151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rūpniecība!$A$152:$A$174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rūpniecība!$C$152:$C$174</c:f>
              <c:numCache>
                <c:formatCode>#,##0</c:formatCode>
                <c:ptCount val="11"/>
                <c:pt idx="0">
                  <c:v>1104.1485250510812</c:v>
                </c:pt>
                <c:pt idx="1">
                  <c:v>2427</c:v>
                </c:pt>
                <c:pt idx="2">
                  <c:v>2899</c:v>
                </c:pt>
                <c:pt idx="3">
                  <c:v>3610.4015950407138</c:v>
                </c:pt>
                <c:pt idx="4">
                  <c:v>3683</c:v>
                </c:pt>
                <c:pt idx="5">
                  <c:v>3981</c:v>
                </c:pt>
                <c:pt idx="6">
                  <c:v>4156</c:v>
                </c:pt>
                <c:pt idx="7">
                  <c:v>4238.4108356029683</c:v>
                </c:pt>
                <c:pt idx="8">
                  <c:v>4442.970105008314</c:v>
                </c:pt>
                <c:pt idx="9">
                  <c:v>5285</c:v>
                </c:pt>
                <c:pt idx="10">
                  <c:v>5899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CD4-4EB2-965F-E8483E933DF0}"/>
            </c:ext>
          </c:extLst>
        </c:ser>
        <c:ser>
          <c:idx val="2"/>
          <c:order val="2"/>
          <c:tx>
            <c:strRef>
              <c:f>rūpniecība!$D$151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rūpniecība!$A$152:$A$174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rūpniecība!$D$152:$D$174</c:f>
              <c:numCache>
                <c:formatCode>#,##0</c:formatCode>
                <c:ptCount val="11"/>
                <c:pt idx="0">
                  <c:v>435.39877405364797</c:v>
                </c:pt>
                <c:pt idx="1">
                  <c:v>1209</c:v>
                </c:pt>
                <c:pt idx="2">
                  <c:v>1309</c:v>
                </c:pt>
                <c:pt idx="3">
                  <c:v>1767.2032924512816</c:v>
                </c:pt>
                <c:pt idx="4">
                  <c:v>1766</c:v>
                </c:pt>
                <c:pt idx="5">
                  <c:v>2115</c:v>
                </c:pt>
                <c:pt idx="6">
                  <c:v>2343</c:v>
                </c:pt>
                <c:pt idx="7">
                  <c:v>2583.6018818711455</c:v>
                </c:pt>
                <c:pt idx="8">
                  <c:v>2651.4157788333932</c:v>
                </c:pt>
                <c:pt idx="9">
                  <c:v>2932</c:v>
                </c:pt>
                <c:pt idx="10">
                  <c:v>3741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CD4-4EB2-965F-E8483E933DF0}"/>
            </c:ext>
          </c:extLst>
        </c:ser>
        <c:ser>
          <c:idx val="3"/>
          <c:order val="3"/>
          <c:tx>
            <c:strRef>
              <c:f>rūpniecība!$E$151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rūpniecība!$A$152:$A$174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rūpniecība!$E$152:$E$174</c:f>
              <c:numCache>
                <c:formatCode>#,##0</c:formatCode>
                <c:ptCount val="11"/>
                <c:pt idx="0">
                  <c:v>452.47323578124201</c:v>
                </c:pt>
                <c:pt idx="1">
                  <c:v>1294</c:v>
                </c:pt>
                <c:pt idx="2">
                  <c:v>1224</c:v>
                </c:pt>
                <c:pt idx="3">
                  <c:v>2250.8493294767291</c:v>
                </c:pt>
                <c:pt idx="4">
                  <c:v>2399</c:v>
                </c:pt>
                <c:pt idx="5">
                  <c:v>3137</c:v>
                </c:pt>
                <c:pt idx="6">
                  <c:v>3605</c:v>
                </c:pt>
                <c:pt idx="7">
                  <c:v>3924.6976561663873</c:v>
                </c:pt>
                <c:pt idx="8">
                  <c:v>3911.6831718953304</c:v>
                </c:pt>
                <c:pt idx="9">
                  <c:v>4721</c:v>
                </c:pt>
                <c:pt idx="10">
                  <c:v>5777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CD4-4EB2-965F-E8483E933DF0}"/>
            </c:ext>
          </c:extLst>
        </c:ser>
        <c:ser>
          <c:idx val="8"/>
          <c:order val="4"/>
          <c:tx>
            <c:strRef>
              <c:f>rūpniecība!$F$151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rūpniecība!$A$152:$A$174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rūpniecība!$F$152:$F$174</c:f>
              <c:numCache>
                <c:formatCode>#,##0</c:formatCode>
                <c:ptCount val="11"/>
                <c:pt idx="3">
                  <c:v>1640.1144366197184</c:v>
                </c:pt>
                <c:pt idx="4">
                  <c:v>1879</c:v>
                </c:pt>
                <c:pt idx="5">
                  <c:v>2151</c:v>
                </c:pt>
                <c:pt idx="6">
                  <c:v>2522</c:v>
                </c:pt>
                <c:pt idx="7">
                  <c:v>2154.2639547610361</c:v>
                </c:pt>
                <c:pt idx="8">
                  <c:v>2223.1356049748024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9CD4-4EB2-965F-E8483E933DF0}"/>
            </c:ext>
          </c:extLst>
        </c:ser>
        <c:ser>
          <c:idx val="4"/>
          <c:order val="5"/>
          <c:tx>
            <c:strRef>
              <c:f>rūpniecība!$G$151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rūpniecība!$A$152:$A$174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rūpniecība!$G$152:$G$174</c:f>
              <c:numCache>
                <c:formatCode>#,##0</c:formatCode>
                <c:ptCount val="11"/>
                <c:pt idx="0">
                  <c:v>443.93600491744496</c:v>
                </c:pt>
                <c:pt idx="1">
                  <c:v>337</c:v>
                </c:pt>
                <c:pt idx="2">
                  <c:v>272</c:v>
                </c:pt>
                <c:pt idx="9">
                  <c:v>301</c:v>
                </c:pt>
                <c:pt idx="10">
                  <c:v>327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9CD4-4EB2-965F-E8483E933DF0}"/>
            </c:ext>
          </c:extLst>
        </c:ser>
        <c:ser>
          <c:idx val="5"/>
          <c:order val="6"/>
          <c:tx>
            <c:strRef>
              <c:f>rūpniecība!$H$151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rūpniecība!$A$152:$A$174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rūpniecība!$H$152:$H$174</c:f>
              <c:numCache>
                <c:formatCode>#,##0</c:formatCode>
                <c:ptCount val="11"/>
                <c:pt idx="0">
                  <c:v>1715.9834036232007</c:v>
                </c:pt>
                <c:pt idx="1">
                  <c:v>4277</c:v>
                </c:pt>
                <c:pt idx="2">
                  <c:v>5912</c:v>
                </c:pt>
                <c:pt idx="3">
                  <c:v>3624.1665957386444</c:v>
                </c:pt>
                <c:pt idx="4">
                  <c:v>3139</c:v>
                </c:pt>
                <c:pt idx="5">
                  <c:v>3918</c:v>
                </c:pt>
                <c:pt idx="6">
                  <c:v>4095</c:v>
                </c:pt>
                <c:pt idx="7">
                  <c:v>4545.0324651637848</c:v>
                </c:pt>
                <c:pt idx="8">
                  <c:v>4977.5116238008359</c:v>
                </c:pt>
                <c:pt idx="9">
                  <c:v>6105</c:v>
                </c:pt>
                <c:pt idx="10">
                  <c:v>7615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9CD4-4EB2-965F-E8483E933DF0}"/>
            </c:ext>
          </c:extLst>
        </c:ser>
        <c:ser>
          <c:idx val="6"/>
          <c:order val="7"/>
          <c:tx>
            <c:strRef>
              <c:f>rūpniecība!$I$151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rūpniecība!$A$152:$A$174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rūpniecība!$I$152:$I$174</c:f>
              <c:numCache>
                <c:formatCode>#,##0</c:formatCode>
                <c:ptCount val="11"/>
                <c:pt idx="0">
                  <c:v>614.68062219338537</c:v>
                </c:pt>
                <c:pt idx="1">
                  <c:v>1469</c:v>
                </c:pt>
                <c:pt idx="2">
                  <c:v>1224</c:v>
                </c:pt>
                <c:pt idx="3">
                  <c:v>1872.5343538006609</c:v>
                </c:pt>
                <c:pt idx="4">
                  <c:v>2086</c:v>
                </c:pt>
                <c:pt idx="5">
                  <c:v>2611</c:v>
                </c:pt>
                <c:pt idx="6">
                  <c:v>3026</c:v>
                </c:pt>
                <c:pt idx="7">
                  <c:v>3457.5163872089238</c:v>
                </c:pt>
                <c:pt idx="8">
                  <c:v>3829.6918663139463</c:v>
                </c:pt>
                <c:pt idx="9">
                  <c:v>4772</c:v>
                </c:pt>
                <c:pt idx="10">
                  <c:v>6780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CD4-4EB2-965F-E8483E933DF0}"/>
            </c:ext>
          </c:extLst>
        </c:ser>
        <c:ser>
          <c:idx val="9"/>
          <c:order val="8"/>
          <c:tx>
            <c:strRef>
              <c:f>rūpniecība!$J$151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rūpniecība!$A$152:$A$174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rūpniecība!$J$152:$J$174</c:f>
              <c:numCache>
                <c:formatCode>#,##0</c:formatCode>
                <c:ptCount val="11"/>
                <c:pt idx="3">
                  <c:v>6962.3719328454581</c:v>
                </c:pt>
                <c:pt idx="4">
                  <c:v>7409</c:v>
                </c:pt>
                <c:pt idx="5">
                  <c:v>7796</c:v>
                </c:pt>
                <c:pt idx="6">
                  <c:v>7581</c:v>
                </c:pt>
                <c:pt idx="7">
                  <c:v>7145.9609544468549</c:v>
                </c:pt>
                <c:pt idx="8">
                  <c:v>6673.9454094292805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9CD4-4EB2-965F-E8483E933DF0}"/>
            </c:ext>
          </c:extLst>
        </c:ser>
        <c:ser>
          <c:idx val="7"/>
          <c:order val="9"/>
          <c:tx>
            <c:strRef>
              <c:f>rūpniecība!$K$151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rūpniecība!$A$152:$A$174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rūpniecība!$K$152:$K$174</c:f>
              <c:numCache>
                <c:formatCode>#,##0</c:formatCode>
                <c:ptCount val="11"/>
                <c:pt idx="0">
                  <c:v>159.36164279087768</c:v>
                </c:pt>
                <c:pt idx="1">
                  <c:v>368</c:v>
                </c:pt>
                <c:pt idx="2">
                  <c:v>2101</c:v>
                </c:pt>
                <c:pt idx="3">
                  <c:v>1872.5343538006609</c:v>
                </c:pt>
                <c:pt idx="4">
                  <c:v>3562</c:v>
                </c:pt>
                <c:pt idx="5">
                  <c:v>4973</c:v>
                </c:pt>
                <c:pt idx="6">
                  <c:v>7361</c:v>
                </c:pt>
                <c:pt idx="7">
                  <c:v>7158.6474370317937</c:v>
                </c:pt>
                <c:pt idx="8">
                  <c:v>7183.4352151504254</c:v>
                </c:pt>
                <c:pt idx="9">
                  <c:v>10773</c:v>
                </c:pt>
                <c:pt idx="10">
                  <c:v>12048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9CD4-4EB2-965F-E8483E933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350592"/>
        <c:axId val="1198369088"/>
      </c:lineChart>
      <c:catAx>
        <c:axId val="11983505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25" b="0" i="0" u="none" strike="noStrik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19836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8369088"/>
        <c:scaling>
          <c:orientation val="minMax"/>
          <c:max val="13000"/>
          <c:min val="1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1198350592"/>
        <c:crosses val="autoZero"/>
        <c:crossBetween val="between"/>
        <c:majorUnit val="129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ysClr val="windowText" lastClr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FFFFCC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ysClr val="windowText" lastClr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>
                <a:solidFill>
                  <a:sysClr val="windowText" lastClr="000000"/>
                </a:solidFill>
              </a:rPr>
              <a:t>Pašražoto preču realizācija vietējā tirgū (EUR uz 1 iedzīvotāju)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30958502990087"/>
          <c:y val="5.9086917019987889E-2"/>
          <c:w val="0.84905584583812421"/>
          <c:h val="0.46564872939269686"/>
        </c:manualLayout>
      </c:layout>
      <c:lineChart>
        <c:grouping val="standard"/>
        <c:varyColors val="0"/>
        <c:ser>
          <c:idx val="0"/>
          <c:order val="0"/>
          <c:tx>
            <c:strRef>
              <c:f>rūpniecība!$B$195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rūpniecība!$A$196:$A$218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rūpniecība!$B$196:$B$218</c:f>
              <c:numCache>
                <c:formatCode>#,##0</c:formatCode>
                <c:ptCount val="11"/>
                <c:pt idx="0">
                  <c:v>356.05090466189722</c:v>
                </c:pt>
                <c:pt idx="1">
                  <c:v>796</c:v>
                </c:pt>
                <c:pt idx="2">
                  <c:v>902</c:v>
                </c:pt>
                <c:pt idx="3">
                  <c:v>1119.461</c:v>
                </c:pt>
                <c:pt idx="4">
                  <c:v>1134</c:v>
                </c:pt>
                <c:pt idx="5">
                  <c:v>1125</c:v>
                </c:pt>
                <c:pt idx="6">
                  <c:v>1343</c:v>
                </c:pt>
                <c:pt idx="7">
                  <c:v>1409.552290301021</c:v>
                </c:pt>
                <c:pt idx="8">
                  <c:v>1408.3534062812464</c:v>
                </c:pt>
                <c:pt idx="9">
                  <c:v>1653</c:v>
                </c:pt>
                <c:pt idx="10">
                  <c:v>2007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D21-4D7E-9E80-AF4B1F302AF8}"/>
            </c:ext>
          </c:extLst>
        </c:ser>
        <c:ser>
          <c:idx val="1"/>
          <c:order val="1"/>
          <c:tx>
            <c:strRef>
              <c:f>rūpniecība!$C$195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rūpniecība!$A$196:$A$218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rūpniecība!$C$196:$C$218</c:f>
              <c:numCache>
                <c:formatCode>#,##0</c:formatCode>
                <c:ptCount val="11"/>
                <c:pt idx="0">
                  <c:v>552.18254307032976</c:v>
                </c:pt>
                <c:pt idx="1">
                  <c:v>1183</c:v>
                </c:pt>
                <c:pt idx="2">
                  <c:v>1266</c:v>
                </c:pt>
                <c:pt idx="3">
                  <c:v>1292.8</c:v>
                </c:pt>
                <c:pt idx="4">
                  <c:v>1269</c:v>
                </c:pt>
                <c:pt idx="5">
                  <c:v>1324</c:v>
                </c:pt>
                <c:pt idx="6">
                  <c:v>1378</c:v>
                </c:pt>
                <c:pt idx="7">
                  <c:v>1431.8452763164814</c:v>
                </c:pt>
                <c:pt idx="8">
                  <c:v>1391.5898750117958</c:v>
                </c:pt>
                <c:pt idx="9">
                  <c:v>1504</c:v>
                </c:pt>
                <c:pt idx="10">
                  <c:v>1809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D21-4D7E-9E80-AF4B1F302AF8}"/>
            </c:ext>
          </c:extLst>
        </c:ser>
        <c:ser>
          <c:idx val="2"/>
          <c:order val="2"/>
          <c:tx>
            <c:strRef>
              <c:f>rūpniecība!$D$195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rūpniecība!$A$196:$A$218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rūpniecība!$D$196:$D$218</c:f>
              <c:numCache>
                <c:formatCode>#,##0</c:formatCode>
                <c:ptCount val="11"/>
                <c:pt idx="0">
                  <c:v>190.88380259645646</c:v>
                </c:pt>
                <c:pt idx="1">
                  <c:v>505</c:v>
                </c:pt>
                <c:pt idx="2">
                  <c:v>465</c:v>
                </c:pt>
                <c:pt idx="3">
                  <c:v>731.68399999999997</c:v>
                </c:pt>
                <c:pt idx="4">
                  <c:v>743</c:v>
                </c:pt>
                <c:pt idx="5">
                  <c:v>636</c:v>
                </c:pt>
                <c:pt idx="6">
                  <c:v>674</c:v>
                </c:pt>
                <c:pt idx="7">
                  <c:v>798.23750944592052</c:v>
                </c:pt>
                <c:pt idx="8">
                  <c:v>871.94175152244293</c:v>
                </c:pt>
                <c:pt idx="9">
                  <c:v>892</c:v>
                </c:pt>
                <c:pt idx="10">
                  <c:v>1066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D21-4D7E-9E80-AF4B1F302AF8}"/>
            </c:ext>
          </c:extLst>
        </c:ser>
        <c:ser>
          <c:idx val="3"/>
          <c:order val="3"/>
          <c:tx>
            <c:strRef>
              <c:f>rūpniecība!$E$195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rūpniecība!$A$196:$A$218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rūpniecība!$E$196:$E$218</c:f>
              <c:numCache>
                <c:formatCode>#,##0</c:formatCode>
                <c:ptCount val="11"/>
                <c:pt idx="0">
                  <c:v>550.52418597503708</c:v>
                </c:pt>
                <c:pt idx="1">
                  <c:v>765</c:v>
                </c:pt>
                <c:pt idx="2">
                  <c:v>484</c:v>
                </c:pt>
                <c:pt idx="3">
                  <c:v>743.22400000000005</c:v>
                </c:pt>
                <c:pt idx="4">
                  <c:v>749</c:v>
                </c:pt>
                <c:pt idx="5">
                  <c:v>891</c:v>
                </c:pt>
                <c:pt idx="6">
                  <c:v>1257</c:v>
                </c:pt>
                <c:pt idx="7">
                  <c:v>1519.4683671649245</c:v>
                </c:pt>
                <c:pt idx="8">
                  <c:v>1493.3200213242735</c:v>
                </c:pt>
                <c:pt idx="9">
                  <c:v>1685</c:v>
                </c:pt>
                <c:pt idx="10">
                  <c:v>1730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D21-4D7E-9E80-AF4B1F302AF8}"/>
            </c:ext>
          </c:extLst>
        </c:ser>
        <c:ser>
          <c:idx val="8"/>
          <c:order val="4"/>
          <c:tx>
            <c:strRef>
              <c:f>rūpniecība!$F$195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rūpniecība!$A$196:$A$218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rūpniecība!$F$196:$F$218</c:f>
              <c:numCache>
                <c:formatCode>#,##0</c:formatCode>
                <c:ptCount val="11"/>
                <c:pt idx="3">
                  <c:v>1159.011</c:v>
                </c:pt>
                <c:pt idx="4">
                  <c:v>1310</c:v>
                </c:pt>
                <c:pt idx="5">
                  <c:v>1550</c:v>
                </c:pt>
                <c:pt idx="6">
                  <c:v>1774</c:v>
                </c:pt>
                <c:pt idx="7">
                  <c:v>1620.2364784750091</c:v>
                </c:pt>
                <c:pt idx="8">
                  <c:v>1907.3281427712795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AD21-4D7E-9E80-AF4B1F302AF8}"/>
            </c:ext>
          </c:extLst>
        </c:ser>
        <c:ser>
          <c:idx val="4"/>
          <c:order val="5"/>
          <c:tx>
            <c:strRef>
              <c:f>rūpniecība!$G$195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rūpniecība!$A$196:$A$218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rūpniecība!$G$196:$G$218</c:f>
              <c:numCache>
                <c:formatCode>#,##0</c:formatCode>
                <c:ptCount val="11"/>
                <c:pt idx="0">
                  <c:v>131.43949095338104</c:v>
                </c:pt>
                <c:pt idx="1">
                  <c:v>223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AD21-4D7E-9E80-AF4B1F302AF8}"/>
            </c:ext>
          </c:extLst>
        </c:ser>
        <c:ser>
          <c:idx val="5"/>
          <c:order val="6"/>
          <c:tx>
            <c:strRef>
              <c:f>rūpniecība!$H$195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rūpniecība!$A$196:$A$218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rūpniecība!$H$196:$H$218</c:f>
              <c:numCache>
                <c:formatCode>#,##0</c:formatCode>
                <c:ptCount val="11"/>
                <c:pt idx="0">
                  <c:v>316.26385165707654</c:v>
                </c:pt>
                <c:pt idx="1">
                  <c:v>841</c:v>
                </c:pt>
                <c:pt idx="2">
                  <c:v>640</c:v>
                </c:pt>
                <c:pt idx="3">
                  <c:v>761.51300000000003</c:v>
                </c:pt>
                <c:pt idx="4">
                  <c:v>781</c:v>
                </c:pt>
                <c:pt idx="5">
                  <c:v>972</c:v>
                </c:pt>
                <c:pt idx="6">
                  <c:v>936</c:v>
                </c:pt>
                <c:pt idx="7">
                  <c:v>1030.3160998030205</c:v>
                </c:pt>
                <c:pt idx="8">
                  <c:v>1216.9400697428048</c:v>
                </c:pt>
                <c:pt idx="9">
                  <c:v>1407</c:v>
                </c:pt>
                <c:pt idx="10">
                  <c:v>1571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AD21-4D7E-9E80-AF4B1F302AF8}"/>
            </c:ext>
          </c:extLst>
        </c:ser>
        <c:ser>
          <c:idx val="6"/>
          <c:order val="7"/>
          <c:tx>
            <c:strRef>
              <c:f>rūpniecība!$I$195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rūpniecība!$A$196:$A$218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rūpniecība!$I$196:$I$218</c:f>
              <c:numCache>
                <c:formatCode>#,##0</c:formatCode>
                <c:ptCount val="11"/>
                <c:pt idx="0">
                  <c:v>266.57375313743233</c:v>
                </c:pt>
                <c:pt idx="1">
                  <c:v>745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AD21-4D7E-9E80-AF4B1F302AF8}"/>
            </c:ext>
          </c:extLst>
        </c:ser>
        <c:ser>
          <c:idx val="9"/>
          <c:order val="8"/>
          <c:tx>
            <c:strRef>
              <c:f>rūpniecība!$J$195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</c:spPr>
          </c:marker>
          <c:cat>
            <c:strRef>
              <c:f>rūpniecība!$A$196:$A$218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rūpniecība!$J$196:$J$218</c:f>
              <c:numCache>
                <c:formatCode>#,##0</c:formatCode>
                <c:ptCount val="11"/>
                <c:pt idx="4">
                  <c:v>1438</c:v>
                </c:pt>
                <c:pt idx="5">
                  <c:v>1808</c:v>
                </c:pt>
                <c:pt idx="6">
                  <c:v>1455</c:v>
                </c:pt>
                <c:pt idx="7">
                  <c:v>1293.7804381778742</c:v>
                </c:pt>
                <c:pt idx="8">
                  <c:v>1133.2079491532804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AD21-4D7E-9E80-AF4B1F302AF8}"/>
            </c:ext>
          </c:extLst>
        </c:ser>
        <c:ser>
          <c:idx val="7"/>
          <c:order val="9"/>
          <c:tx>
            <c:strRef>
              <c:f>rūpniecība!$K$195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rūpniecība!$A$196:$A$218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rūpniecība!$K$196:$K$218</c:f>
              <c:numCache>
                <c:formatCode>#,##0</c:formatCode>
                <c:ptCount val="11"/>
                <c:pt idx="0">
                  <c:v>76.007820103471232</c:v>
                </c:pt>
                <c:pt idx="1">
                  <c:v>193</c:v>
                </c:pt>
                <c:pt idx="2">
                  <c:v>508</c:v>
                </c:pt>
                <c:pt idx="3">
                  <c:v>522.64099999999996</c:v>
                </c:pt>
                <c:pt idx="4">
                  <c:v>410</c:v>
                </c:pt>
                <c:pt idx="5">
                  <c:v>673</c:v>
                </c:pt>
                <c:pt idx="6">
                  <c:v>1001</c:v>
                </c:pt>
                <c:pt idx="7">
                  <c:v>1067.7570017106116</c:v>
                </c:pt>
                <c:pt idx="8">
                  <c:v>1559.1763184705742</c:v>
                </c:pt>
                <c:pt idx="9">
                  <c:v>1780</c:v>
                </c:pt>
                <c:pt idx="10">
                  <c:v>1248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AD21-4D7E-9E80-AF4B1F302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373440"/>
        <c:axId val="1198357120"/>
      </c:lineChart>
      <c:catAx>
        <c:axId val="11983734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25" b="0" i="0" u="none" strike="noStrik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19835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8357120"/>
        <c:scaling>
          <c:orientation val="minMax"/>
          <c:max val="25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1198373440"/>
        <c:crosses val="autoZero"/>
        <c:crossBetween val="between"/>
        <c:majorUnit val="2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ysClr val="windowText" lastClr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FFFFCC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>
                <a:solidFill>
                  <a:schemeClr val="tx1"/>
                </a:solidFill>
              </a:rPr>
              <a:t>Pašražoto preču realizācija eksportam (EUR uz 1 iedzīvotāju)</a:t>
            </a:r>
          </a:p>
        </c:rich>
      </c:tx>
      <c:layout>
        <c:manualLayout>
          <c:xMode val="edge"/>
          <c:yMode val="edge"/>
          <c:x val="0.33038899549321038"/>
          <c:y val="2.07119234378685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2545392610237"/>
          <c:y val="0.10236505617803854"/>
          <c:w val="0.86985077845661452"/>
          <c:h val="0.4415687574988863"/>
        </c:manualLayout>
      </c:layout>
      <c:lineChart>
        <c:grouping val="standard"/>
        <c:varyColors val="0"/>
        <c:ser>
          <c:idx val="0"/>
          <c:order val="0"/>
          <c:tx>
            <c:strRef>
              <c:f>rūpniecība!$B$235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rūpniecība!$A$236:$A$258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rūpniecība!$B$236:$B$258</c:f>
              <c:numCache>
                <c:formatCode>#,##0</c:formatCode>
                <c:ptCount val="11"/>
                <c:pt idx="0">
                  <c:v>399.4354044655409</c:v>
                </c:pt>
                <c:pt idx="1">
                  <c:v>896.94</c:v>
                </c:pt>
                <c:pt idx="2">
                  <c:v>1318.33</c:v>
                </c:pt>
                <c:pt idx="3">
                  <c:v>1977.643</c:v>
                </c:pt>
                <c:pt idx="4">
                  <c:v>2073</c:v>
                </c:pt>
                <c:pt idx="5">
                  <c:v>2326</c:v>
                </c:pt>
                <c:pt idx="6">
                  <c:v>2530</c:v>
                </c:pt>
                <c:pt idx="7">
                  <c:v>2621.7064966516837</c:v>
                </c:pt>
                <c:pt idx="8">
                  <c:v>2741.8078795260785</c:v>
                </c:pt>
                <c:pt idx="9">
                  <c:v>3432</c:v>
                </c:pt>
                <c:pt idx="10">
                  <c:v>3989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AC-4395-9199-CEA459F7D622}"/>
            </c:ext>
          </c:extLst>
        </c:ser>
        <c:ser>
          <c:idx val="1"/>
          <c:order val="1"/>
          <c:tx>
            <c:strRef>
              <c:f>rūpniecība!$C$235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rūpniecība!$A$236:$A$258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rūpniecība!$C$236:$C$258</c:f>
              <c:numCache>
                <c:formatCode>#,##0</c:formatCode>
                <c:ptCount val="11"/>
                <c:pt idx="0">
                  <c:v>555.15321483656896</c:v>
                </c:pt>
                <c:pt idx="1">
                  <c:v>1249.68</c:v>
                </c:pt>
                <c:pt idx="2">
                  <c:v>1590.91</c:v>
                </c:pt>
                <c:pt idx="3">
                  <c:v>2326.1309999999999</c:v>
                </c:pt>
                <c:pt idx="4">
                  <c:v>2487</c:v>
                </c:pt>
                <c:pt idx="5">
                  <c:v>2659</c:v>
                </c:pt>
                <c:pt idx="6">
                  <c:v>2734</c:v>
                </c:pt>
                <c:pt idx="7">
                  <c:v>2850.8015354899785</c:v>
                </c:pt>
                <c:pt idx="8">
                  <c:v>3451.653457594799</c:v>
                </c:pt>
                <c:pt idx="9">
                  <c:v>3805</c:v>
                </c:pt>
                <c:pt idx="10">
                  <c:v>4167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1AC-4395-9199-CEA459F7D622}"/>
            </c:ext>
          </c:extLst>
        </c:ser>
        <c:ser>
          <c:idx val="2"/>
          <c:order val="2"/>
          <c:tx>
            <c:strRef>
              <c:f>rūpniecība!$D$235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rūpniecība!$A$236:$A$258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rūpniecība!$D$236:$D$258</c:f>
              <c:numCache>
                <c:formatCode>#,##0</c:formatCode>
                <c:ptCount val="11"/>
                <c:pt idx="0">
                  <c:v>255.36280385427517</c:v>
                </c:pt>
                <c:pt idx="1">
                  <c:v>682.09</c:v>
                </c:pt>
                <c:pt idx="2">
                  <c:v>833.52</c:v>
                </c:pt>
                <c:pt idx="3">
                  <c:v>1065.625</c:v>
                </c:pt>
                <c:pt idx="4">
                  <c:v>1169</c:v>
                </c:pt>
                <c:pt idx="5">
                  <c:v>1291</c:v>
                </c:pt>
                <c:pt idx="6">
                  <c:v>1667</c:v>
                </c:pt>
                <c:pt idx="7">
                  <c:v>1869.1795492772344</c:v>
                </c:pt>
                <c:pt idx="8">
                  <c:v>1820.0178153720219</c:v>
                </c:pt>
                <c:pt idx="9">
                  <c:v>2119</c:v>
                </c:pt>
                <c:pt idx="10">
                  <c:v>2738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1AC-4395-9199-CEA459F7D622}"/>
            </c:ext>
          </c:extLst>
        </c:ser>
        <c:ser>
          <c:idx val="3"/>
          <c:order val="3"/>
          <c:tx>
            <c:strRef>
              <c:f>rūpniecība!$E$235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rūpniecība!$A$236:$A$258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rūpniecība!$E$236:$E$258</c:f>
              <c:numCache>
                <c:formatCode>#,##0</c:formatCode>
                <c:ptCount val="11"/>
                <c:pt idx="0">
                  <c:v>330.08676672301237</c:v>
                </c:pt>
                <c:pt idx="1">
                  <c:v>401.96</c:v>
                </c:pt>
                <c:pt idx="2">
                  <c:v>776.26</c:v>
                </c:pt>
                <c:pt idx="3">
                  <c:v>1516.9280000000001</c:v>
                </c:pt>
                <c:pt idx="4">
                  <c:v>1689</c:v>
                </c:pt>
                <c:pt idx="5">
                  <c:v>2305</c:v>
                </c:pt>
                <c:pt idx="6">
                  <c:v>2429</c:v>
                </c:pt>
                <c:pt idx="7">
                  <c:v>2527.0051799793087</c:v>
                </c:pt>
                <c:pt idx="8">
                  <c:v>2586.8393685846463</c:v>
                </c:pt>
                <c:pt idx="9">
                  <c:v>3218</c:v>
                </c:pt>
                <c:pt idx="10">
                  <c:v>4250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1AC-4395-9199-CEA459F7D622}"/>
            </c:ext>
          </c:extLst>
        </c:ser>
        <c:ser>
          <c:idx val="8"/>
          <c:order val="4"/>
          <c:tx>
            <c:strRef>
              <c:f>rūpniecība!$F$235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rūpniecība!$A$236:$A$258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rūpniecība!$F$236:$F$256</c:f>
              <c:numCache>
                <c:formatCode>#,##0</c:formatCode>
                <c:ptCount val="9"/>
                <c:pt idx="3">
                  <c:v>666.17399999999998</c:v>
                </c:pt>
                <c:pt idx="4">
                  <c:v>616</c:v>
                </c:pt>
                <c:pt idx="5">
                  <c:v>662</c:v>
                </c:pt>
                <c:pt idx="6">
                  <c:v>809</c:v>
                </c:pt>
                <c:pt idx="7">
                  <c:v>820.38738143013495</c:v>
                </c:pt>
                <c:pt idx="8">
                  <c:v>869.16675759397094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71AC-4395-9199-CEA459F7D622}"/>
            </c:ext>
          </c:extLst>
        </c:ser>
        <c:ser>
          <c:idx val="4"/>
          <c:order val="5"/>
          <c:tx>
            <c:strRef>
              <c:f>rūpniecība!$G$235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rūpniecība!$A$236:$A$258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rūpniecība!$G$241:$G$247</c:f>
              <c:numCache>
                <c:formatCode>#,##0</c:formatCode>
                <c:ptCount val="2"/>
                <c:pt idx="0">
                  <c:v>111.73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71AC-4395-9199-CEA459F7D622}"/>
            </c:ext>
          </c:extLst>
        </c:ser>
        <c:ser>
          <c:idx val="5"/>
          <c:order val="6"/>
          <c:tx>
            <c:strRef>
              <c:f>rūpniecība!$H$235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rūpniecība!$A$236:$A$258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rūpniecība!$H$236:$H$258</c:f>
              <c:numCache>
                <c:formatCode>#,##0</c:formatCode>
                <c:ptCount val="11"/>
                <c:pt idx="0">
                  <c:v>1461.1415131387982</c:v>
                </c:pt>
                <c:pt idx="1">
                  <c:v>3429.87</c:v>
                </c:pt>
                <c:pt idx="2">
                  <c:v>4840.8999999999996</c:v>
                </c:pt>
                <c:pt idx="3">
                  <c:v>3229.55</c:v>
                </c:pt>
                <c:pt idx="4">
                  <c:v>2588</c:v>
                </c:pt>
                <c:pt idx="5">
                  <c:v>3074</c:v>
                </c:pt>
                <c:pt idx="6">
                  <c:v>3228</c:v>
                </c:pt>
                <c:pt idx="7">
                  <c:v>3497.2756416429565</c:v>
                </c:pt>
                <c:pt idx="8">
                  <c:v>3841.170106232712</c:v>
                </c:pt>
                <c:pt idx="9">
                  <c:v>4853</c:v>
                </c:pt>
                <c:pt idx="10">
                  <c:v>6123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71AC-4395-9199-CEA459F7D622}"/>
            </c:ext>
          </c:extLst>
        </c:ser>
        <c:ser>
          <c:idx val="6"/>
          <c:order val="7"/>
          <c:tx>
            <c:strRef>
              <c:f>rūpniecība!$I$235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rūpniecība!$A$236:$A$258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rūpniecība!$I$236:$I$251</c:f>
              <c:numCache>
                <c:formatCode>#,##0</c:formatCode>
                <c:ptCount val="4"/>
                <c:pt idx="0">
                  <c:v>394.90426918458064</c:v>
                </c:pt>
                <c:pt idx="1">
                  <c:v>718.08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71AC-4395-9199-CEA459F7D622}"/>
            </c:ext>
          </c:extLst>
        </c:ser>
        <c:ser>
          <c:idx val="9"/>
          <c:order val="8"/>
          <c:tx>
            <c:strRef>
              <c:f>rūpniecība!$J$235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rūpniecība!$A$236:$A$258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rūpniecība!$J$236:$J$256</c:f>
              <c:numCache>
                <c:formatCode>#,##0</c:formatCode>
                <c:ptCount val="9"/>
                <c:pt idx="4">
                  <c:v>5818</c:v>
                </c:pt>
                <c:pt idx="5">
                  <c:v>6057</c:v>
                </c:pt>
                <c:pt idx="6">
                  <c:v>6123</c:v>
                </c:pt>
                <c:pt idx="7">
                  <c:v>5591.2781301518426</c:v>
                </c:pt>
                <c:pt idx="8">
                  <c:v>5575.2331287275256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71AC-4395-9199-CEA459F7D622}"/>
            </c:ext>
          </c:extLst>
        </c:ser>
        <c:ser>
          <c:idx val="7"/>
          <c:order val="9"/>
          <c:tx>
            <c:strRef>
              <c:f>rūpniecība!$K$235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rūpniecība!$A$236:$A$258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rūpniecība!$K$236:$K$258</c:f>
              <c:numCache>
                <c:formatCode>#,##0</c:formatCode>
                <c:ptCount val="11"/>
                <c:pt idx="0">
                  <c:v>88.459513605500248</c:v>
                </c:pt>
                <c:pt idx="1">
                  <c:v>181.14</c:v>
                </c:pt>
                <c:pt idx="2">
                  <c:v>1818.38</c:v>
                </c:pt>
                <c:pt idx="3">
                  <c:v>3557.442</c:v>
                </c:pt>
                <c:pt idx="4">
                  <c:v>3212</c:v>
                </c:pt>
                <c:pt idx="5">
                  <c:v>4312</c:v>
                </c:pt>
                <c:pt idx="6">
                  <c:v>6319</c:v>
                </c:pt>
                <c:pt idx="7">
                  <c:v>6142.1940394030553</c:v>
                </c:pt>
                <c:pt idx="8">
                  <c:v>5748.1715929521761</c:v>
                </c:pt>
                <c:pt idx="9">
                  <c:v>8625</c:v>
                </c:pt>
                <c:pt idx="10">
                  <c:v>10587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71AC-4395-9199-CEA459F7D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357664"/>
        <c:axId val="1198374528"/>
      </c:lineChart>
      <c:catAx>
        <c:axId val="119835766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25" b="0" i="0" u="none" strike="noStrik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19837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8374528"/>
        <c:scaling>
          <c:orientation val="minMax"/>
          <c:max val="110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1198357664"/>
        <c:crosses val="autoZero"/>
        <c:crossBetween val="between"/>
        <c:majorUnit val="110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FFFFCC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lv-LV" sz="1125" b="0" i="0" u="none" strike="noStrike" baseline="0">
                <a:solidFill>
                  <a:schemeClr val="tx1"/>
                </a:solidFill>
                <a:latin typeface="Times New Roman"/>
                <a:cs typeface="Times New Roman"/>
              </a:rPr>
              <a:t>Apstrades rūpniecības produkcijas izlaide un pašražoto preču realizācija 2022. gadā </a:t>
            </a:r>
          </a:p>
          <a:p>
            <a:pPr>
              <a:defRPr sz="1025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lv-LV" sz="1125" b="0" i="0" u="none" strike="noStrike" baseline="0">
                <a:solidFill>
                  <a:schemeClr val="tx1"/>
                </a:solidFill>
                <a:latin typeface="Times New Roman"/>
                <a:cs typeface="Times New Roman"/>
              </a:rPr>
              <a:t>(eiro uz 1  iedzīvotāju)</a:t>
            </a:r>
          </a:p>
        </c:rich>
      </c:tx>
      <c:layout>
        <c:manualLayout>
          <c:xMode val="edge"/>
          <c:yMode val="edge"/>
          <c:x val="0.30009691096305269"/>
          <c:y val="1.15607576080017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097566829991182"/>
          <c:y val="0.13826578256665284"/>
          <c:w val="0.73066211653960755"/>
          <c:h val="0.5881322349157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rūpniecība!$A$42</c:f>
              <c:strCache>
                <c:ptCount val="1"/>
                <c:pt idx="0">
                  <c:v>Rūpniecības produkcijas izlaide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rūpniecība!$B$41:$J$41</c15:sqref>
                  </c15:fullRef>
                </c:ext>
              </c:extLst>
              <c:f>(rūpniecība!$B$41:$H$41,rūpniecība!$J$41)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rūpniecība!$B$42:$J$42</c15:sqref>
                  </c15:fullRef>
                </c:ext>
              </c:extLst>
              <c:f>(rūpniecība!$B$42:$H$42,rūpniecība!$J$42)</c:f>
              <c:numCache>
                <c:formatCode>#,##0</c:formatCode>
                <c:ptCount val="8"/>
                <c:pt idx="0">
                  <c:v>5880.7609951736795</c:v>
                </c:pt>
                <c:pt idx="1">
                  <c:v>5898.7604370218332</c:v>
                </c:pt>
                <c:pt idx="2">
                  <c:v>3741.3062777425494</c:v>
                </c:pt>
                <c:pt idx="3">
                  <c:v>5777.1828725654677</c:v>
                </c:pt>
                <c:pt idx="4">
                  <c:v>327.39161030532858</c:v>
                </c:pt>
                <c:pt idx="5">
                  <c:v>7614.6181135225379</c:v>
                </c:pt>
                <c:pt idx="6">
                  <c:v>6779.949200090985</c:v>
                </c:pt>
                <c:pt idx="7">
                  <c:v>12048.036299623649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5-4671-94B1-67A9308334B7}"/>
            </c:ext>
          </c:extLst>
        </c:ser>
        <c:ser>
          <c:idx val="1"/>
          <c:order val="1"/>
          <c:tx>
            <c:strRef>
              <c:f>rūpniecība!$A$43</c:f>
              <c:strCache>
                <c:ptCount val="1"/>
                <c:pt idx="0">
                  <c:v>Pašražoto preču realizācija kopā, tai skaitā: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rūpniecība!$B$41:$J$41</c15:sqref>
                  </c15:fullRef>
                </c:ext>
              </c:extLst>
              <c:f>(rūpniecība!$B$41:$H$41,rūpniecība!$J$41)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rūpniecība!$B$43:$J$43</c15:sqref>
                  </c15:fullRef>
                </c:ext>
              </c:extLst>
              <c:f>(rūpniecība!$B$43:$H$43,rūpniecība!$J$43)</c:f>
              <c:numCache>
                <c:formatCode>#,##0</c:formatCode>
                <c:ptCount val="8"/>
                <c:pt idx="0">
                  <c:v>5996.2789324315136</c:v>
                </c:pt>
                <c:pt idx="1">
                  <c:v>5975.8327057584302</c:v>
                </c:pt>
                <c:pt idx="2">
                  <c:v>3803.5180722891564</c:v>
                </c:pt>
                <c:pt idx="3">
                  <c:v>5979.8873003136623</c:v>
                </c:pt>
                <c:pt idx="5">
                  <c:v>7694.5668375864543</c:v>
                </c:pt>
                <c:pt idx="6">
                  <c:v>6771.449692925923</c:v>
                </c:pt>
                <c:pt idx="7">
                  <c:v>11835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5-4671-94B1-67A9308334B7}"/>
            </c:ext>
          </c:extLst>
        </c:ser>
        <c:ser>
          <c:idx val="2"/>
          <c:order val="2"/>
          <c:tx>
            <c:strRef>
              <c:f>rūpniecība!$A$44</c:f>
              <c:strCache>
                <c:ptCount val="1"/>
                <c:pt idx="0">
                  <c:v>          vietējā tirgū</c:v>
                </c:pt>
              </c:strCache>
            </c:strRef>
          </c:tx>
          <c:spPr>
            <a:noFill/>
            <a:ln w="28575">
              <a:solidFill>
                <a:schemeClr val="accent6">
                  <a:lumMod val="50000"/>
                </a:schemeClr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rūpniecība!$B$41:$J$41</c15:sqref>
                  </c15:fullRef>
                </c:ext>
              </c:extLst>
              <c:f>(rūpniecība!$B$41:$H$41,rūpniecība!$J$41)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rūpniecība!$B$44:$J$44</c15:sqref>
                  </c15:fullRef>
                </c:ext>
              </c:extLst>
              <c:f>(rūpniecība!$B$44:$H$44,rūpniecība!$J$44)</c:f>
              <c:numCache>
                <c:formatCode>#,##0</c:formatCode>
                <c:ptCount val="8"/>
                <c:pt idx="0">
                  <c:v>2007</c:v>
                </c:pt>
                <c:pt idx="1">
                  <c:v>1809</c:v>
                </c:pt>
                <c:pt idx="2">
                  <c:v>1066</c:v>
                </c:pt>
                <c:pt idx="3">
                  <c:v>1730</c:v>
                </c:pt>
                <c:pt idx="5">
                  <c:v>1571</c:v>
                </c:pt>
                <c:pt idx="7">
                  <c:v>1248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5-4671-94B1-67A9308334B7}"/>
            </c:ext>
          </c:extLst>
        </c:ser>
        <c:ser>
          <c:idx val="3"/>
          <c:order val="3"/>
          <c:tx>
            <c:strRef>
              <c:f>rūpniecība!$A$45</c:f>
              <c:strCache>
                <c:ptCount val="1"/>
                <c:pt idx="0">
                  <c:v>          eksports</c:v>
                </c:pt>
              </c:strCache>
            </c:strRef>
          </c:tx>
          <c:spPr>
            <a:noFill/>
            <a:ln w="28575"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rūpniecība!$B$41:$J$41</c15:sqref>
                  </c15:fullRef>
                </c:ext>
              </c:extLst>
              <c:f>(rūpniecība!$B$41:$H$41,rūpniecība!$J$41)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rūpniecība!$B$45:$J$45</c15:sqref>
                  </c15:fullRef>
                </c:ext>
              </c:extLst>
              <c:f>(rūpniecība!$B$45:$H$45,rūpniecība!$J$45)</c:f>
              <c:numCache>
                <c:formatCode>#,##0</c:formatCode>
                <c:ptCount val="8"/>
                <c:pt idx="0">
                  <c:v>3989</c:v>
                </c:pt>
                <c:pt idx="1">
                  <c:v>4167</c:v>
                </c:pt>
                <c:pt idx="2">
                  <c:v>2738</c:v>
                </c:pt>
                <c:pt idx="3">
                  <c:v>4250</c:v>
                </c:pt>
                <c:pt idx="5">
                  <c:v>6123</c:v>
                </c:pt>
                <c:pt idx="7">
                  <c:v>10587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85-4671-94B1-67A930833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8"/>
        <c:overlap val="-8"/>
        <c:axId val="1198353312"/>
        <c:axId val="1198346784"/>
      </c:barChart>
      <c:catAx>
        <c:axId val="11983533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25" b="0" i="0" u="none" strike="noStrik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19834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8346784"/>
        <c:scaling>
          <c:orientation val="minMax"/>
          <c:max val="125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25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198353312"/>
        <c:crosses val="autoZero"/>
        <c:crossBetween val="between"/>
        <c:majorUnit val="1250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FFFFCC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 sz="11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Liepājas apstrādes rūpniecības rūpniecības preču izlaide un realizācija, milj.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rūpniecība!$B$2</c:f>
              <c:strCache>
                <c:ptCount val="1"/>
                <c:pt idx="0">
                  <c:v>Rūpniecības produkcijas izlaide,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rūpniecība!$A$3:$A$25</c:f>
              <c:numCache>
                <c:formatCode>General</c:formatCod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rūpniecība!$B$3:$B$25</c:f>
              <c:numCache>
                <c:formatCode>#\ ##0.0_ ;[Red]\-#\ ##0.0\ </c:formatCode>
                <c:ptCount val="7"/>
                <c:pt idx="0">
                  <c:v>153</c:v>
                </c:pt>
                <c:pt idx="1">
                  <c:v>355.1</c:v>
                </c:pt>
                <c:pt idx="2">
                  <c:v>454.7</c:v>
                </c:pt>
                <c:pt idx="3">
                  <c:v>255.482</c:v>
                </c:pt>
                <c:pt idx="4" formatCode="General">
                  <c:v>338.3</c:v>
                </c:pt>
                <c:pt idx="5" formatCode="0.0">
                  <c:v>411.26</c:v>
                </c:pt>
                <c:pt idx="6" formatCode="0.0">
                  <c:v>510.84949999999998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8-42EE-AAAD-17975978B1C4}"/>
            </c:ext>
          </c:extLst>
        </c:ser>
        <c:ser>
          <c:idx val="1"/>
          <c:order val="1"/>
          <c:tx>
            <c:strRef>
              <c:f>rūpniecība!$C$2</c:f>
              <c:strCache>
                <c:ptCount val="1"/>
                <c:pt idx="0">
                  <c:v>Pašražoto preču realizācija kopā, tai skaitā: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rūpniecība!$A$3:$A$25</c:f>
              <c:numCache>
                <c:formatCode>General</c:formatCod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rūpniecība!$C$3:$C$25</c:f>
              <c:numCache>
                <c:formatCode>#\ ##0.0_ ;[Red]\-#\ ##0.0\ </c:formatCode>
                <c:ptCount val="7"/>
                <c:pt idx="0">
                  <c:v>158.4</c:v>
                </c:pt>
                <c:pt idx="1">
                  <c:v>354.7</c:v>
                </c:pt>
                <c:pt idx="2">
                  <c:v>421.6</c:v>
                </c:pt>
                <c:pt idx="3">
                  <c:v>281.346</c:v>
                </c:pt>
                <c:pt idx="4" formatCode="General">
                  <c:v>343.8</c:v>
                </c:pt>
                <c:pt idx="5" formatCode="0.0">
                  <c:v>421.67</c:v>
                </c:pt>
                <c:pt idx="6" formatCode="0.0">
                  <c:v>516.21299999999997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E8-42EE-AAAD-17975978B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354400"/>
        <c:axId val="1198359296"/>
      </c:barChart>
      <c:lineChart>
        <c:grouping val="standard"/>
        <c:varyColors val="0"/>
        <c:ser>
          <c:idx val="3"/>
          <c:order val="3"/>
          <c:tx>
            <c:strRef>
              <c:f>rūpniecība!$E$2</c:f>
              <c:strCache>
                <c:ptCount val="1"/>
                <c:pt idx="0">
                  <c:v>          vietējā tirgū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rūpniecība!$A$3:$A$25</c:f>
              <c:numCache>
                <c:formatCode>General</c:formatCod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rūpniecība!$E$3:$E$25</c:f>
              <c:numCache>
                <c:formatCode>#\ ##0.0_ ;[Red]\-#\ ##0.0\ </c:formatCode>
                <c:ptCount val="7"/>
                <c:pt idx="0">
                  <c:v>28.2</c:v>
                </c:pt>
                <c:pt idx="1">
                  <c:v>69.8</c:v>
                </c:pt>
                <c:pt idx="2">
                  <c:v>49.3</c:v>
                </c:pt>
                <c:pt idx="3">
                  <c:v>53.682000000000002</c:v>
                </c:pt>
                <c:pt idx="4" formatCode="0.0">
                  <c:v>82.707999999999998</c:v>
                </c:pt>
                <c:pt idx="5" formatCode="0.0">
                  <c:v>94.769000000000005</c:v>
                </c:pt>
                <c:pt idx="6" formatCode="0.0">
                  <c:v>105.41800000000001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9E8-42EE-AAAD-17975978B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354400"/>
        <c:axId val="1198359296"/>
      </c:lineChart>
      <c:lineChart>
        <c:grouping val="standard"/>
        <c:varyColors val="0"/>
        <c:ser>
          <c:idx val="2"/>
          <c:order val="2"/>
          <c:tx>
            <c:strRef>
              <c:f>rūpniecība!$D$2</c:f>
              <c:strCache>
                <c:ptCount val="1"/>
                <c:pt idx="0">
                  <c:v>          eksports: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rūpniecība!$A$3:$A$25</c:f>
              <c:numCache>
                <c:formatCode>General</c:formatCod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rūpniecība!$D$3:$D$25</c:f>
              <c:numCache>
                <c:formatCode>#\ ##0.0_ ;[Red]\-#\ ##0.0\ </c:formatCode>
                <c:ptCount val="7"/>
                <c:pt idx="0">
                  <c:v>130.19999999999999</c:v>
                </c:pt>
                <c:pt idx="1">
                  <c:v>284.8</c:v>
                </c:pt>
                <c:pt idx="2">
                  <c:v>372.3</c:v>
                </c:pt>
                <c:pt idx="3">
                  <c:v>227.66399999999999</c:v>
                </c:pt>
                <c:pt idx="4" formatCode="0.0">
                  <c:v>261.06099999999998</c:v>
                </c:pt>
                <c:pt idx="5" formatCode="General">
                  <c:v>326.89999999999998</c:v>
                </c:pt>
                <c:pt idx="6" formatCode="0.0">
                  <c:v>410.79500000000002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9E8-42EE-AAAD-17975978B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370176"/>
        <c:axId val="1198371264"/>
      </c:lineChart>
      <c:catAx>
        <c:axId val="1198354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198359296"/>
        <c:crosses val="autoZero"/>
        <c:auto val="1"/>
        <c:lblAlgn val="ctr"/>
        <c:lblOffset val="100"/>
        <c:noMultiLvlLbl val="0"/>
      </c:catAx>
      <c:valAx>
        <c:axId val="119835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_ ;[Red]\-#\ ##0.0\ 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>
                    <a:lumMod val="9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198354400"/>
        <c:crosses val="autoZero"/>
        <c:crossBetween val="between"/>
      </c:valAx>
      <c:catAx>
        <c:axId val="119837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8371264"/>
        <c:crosses val="autoZero"/>
        <c:auto val="1"/>
        <c:lblAlgn val="ctr"/>
        <c:lblOffset val="100"/>
        <c:noMultiLvlLbl val="0"/>
      </c:catAx>
      <c:valAx>
        <c:axId val="1198371264"/>
        <c:scaling>
          <c:orientation val="minMax"/>
        </c:scaling>
        <c:delete val="0"/>
        <c:axPos val="r"/>
        <c:numFmt formatCode="#\ ##0.0_ ;[Red]\-#\ ##0.0\ 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>
                    <a:lumMod val="9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198370176"/>
        <c:crosses val="max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5715</xdr:rowOff>
    </xdr:from>
    <xdr:to>
      <xdr:col>15</xdr:col>
      <xdr:colOff>304800</xdr:colOff>
      <xdr:row>105</xdr:row>
      <xdr:rowOff>36195</xdr:rowOff>
    </xdr:to>
    <xdr:graphicFrame macro="">
      <xdr:nvGraphicFramePr>
        <xdr:cNvPr id="1597" name="Chart 27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107</xdr:row>
      <xdr:rowOff>28575</xdr:rowOff>
    </xdr:from>
    <xdr:to>
      <xdr:col>15</xdr:col>
      <xdr:colOff>300990</xdr:colOff>
      <xdr:row>146</xdr:row>
      <xdr:rowOff>123825</xdr:rowOff>
    </xdr:to>
    <xdr:graphicFrame macro="">
      <xdr:nvGraphicFramePr>
        <xdr:cNvPr id="1598" name="Chart 29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149</xdr:row>
      <xdr:rowOff>47625</xdr:rowOff>
    </xdr:from>
    <xdr:to>
      <xdr:col>15</xdr:col>
      <xdr:colOff>276225</xdr:colOff>
      <xdr:row>191</xdr:row>
      <xdr:rowOff>1905</xdr:rowOff>
    </xdr:to>
    <xdr:graphicFrame macro="">
      <xdr:nvGraphicFramePr>
        <xdr:cNvPr id="1599" name="Chart 30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193</xdr:row>
      <xdr:rowOff>78105</xdr:rowOff>
    </xdr:from>
    <xdr:to>
      <xdr:col>15</xdr:col>
      <xdr:colOff>403860</xdr:colOff>
      <xdr:row>231</xdr:row>
      <xdr:rowOff>0</xdr:rowOff>
    </xdr:to>
    <xdr:graphicFrame macro="">
      <xdr:nvGraphicFramePr>
        <xdr:cNvPr id="1600" name="Chart 3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233</xdr:row>
      <xdr:rowOff>85725</xdr:rowOff>
    </xdr:from>
    <xdr:to>
      <xdr:col>15</xdr:col>
      <xdr:colOff>361950</xdr:colOff>
      <xdr:row>273</xdr:row>
      <xdr:rowOff>0</xdr:rowOff>
    </xdr:to>
    <xdr:graphicFrame macro="">
      <xdr:nvGraphicFramePr>
        <xdr:cNvPr id="1601" name="Chart 32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39</xdr:row>
      <xdr:rowOff>85725</xdr:rowOff>
    </xdr:from>
    <xdr:to>
      <xdr:col>16</xdr:col>
      <xdr:colOff>127635</xdr:colOff>
      <xdr:row>62</xdr:row>
      <xdr:rowOff>55245</xdr:rowOff>
    </xdr:to>
    <xdr:graphicFrame macro="">
      <xdr:nvGraphicFramePr>
        <xdr:cNvPr id="1602" name="Chart 34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97155</xdr:rowOff>
    </xdr:from>
    <xdr:to>
      <xdr:col>16</xdr:col>
      <xdr:colOff>102870</xdr:colOff>
      <xdr:row>37</xdr:row>
      <xdr:rowOff>28575</xdr:rowOff>
    </xdr:to>
    <xdr:graphicFrame macro="">
      <xdr:nvGraphicFramePr>
        <xdr:cNvPr id="1603" name="Diagramma 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.Zuravska/My%20Documents/2010/Statistika/rupnieciba/Apstrades%20rupnieciba_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.Zuravska/My%20Documents/2011/Statistika/rupnieciba/Apstrades%20rupnieciba_gra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Zuravska/Documents/2016/Statistika/Kopsavilkumi/Galvenie_raditaji_1995_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īpatsvars_salīdz"/>
      <sheetName val="rūpn_dinam_latv"/>
      <sheetName val="graf_iedz_latv"/>
      <sheetName val="graf_realiz_razos"/>
      <sheetName val="graf_realiz_razos_latv"/>
      <sheetName val="izlaide_iedz"/>
      <sheetName val="darba_raž_latv"/>
      <sheetName val="Izlaide uz 1 iedz."/>
      <sheetName val="Vietējais tirgus "/>
      <sheetName val="Eksp. uz 1 iedz."/>
      <sheetName val="Eksp"/>
      <sheetName val="izlaide_latvijā"/>
      <sheetName val="Sheet2"/>
      <sheetName val="Sheet3"/>
      <sheetName val="Sheet4"/>
      <sheetName val="Sheet5"/>
    </sheetNames>
    <sheetDataSet>
      <sheetData sheetId="0">
        <row r="3">
          <cell r="F3">
            <v>8.8000000000000007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īpatsvars_salīdz"/>
      <sheetName val="rūpn_dinam_latv"/>
      <sheetName val="graf_iedz_latv"/>
      <sheetName val="graf_realiz_razos"/>
      <sheetName val="graf_realiz_razos_latv"/>
      <sheetName val="izlaide_iedz"/>
      <sheetName val="darba_raž_latv"/>
      <sheetName val="Izlaide uz 1 iedz."/>
      <sheetName val="Vietējais tirgus "/>
      <sheetName val="Eksp. uz 1 iedz."/>
      <sheetName val="Eksp"/>
      <sheetName val="izlaide_latvijā"/>
      <sheetName val="Sheet3"/>
      <sheetName val="Sheet4"/>
      <sheetName val="Sheet1"/>
      <sheetName val="Sheet2"/>
    </sheetNames>
    <sheetDataSet>
      <sheetData sheetId="0"/>
      <sheetData sheetId="1">
        <row r="6">
          <cell r="G6">
            <v>145.20429799999999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ārskats_kopsavilkums"/>
      <sheetName val="Eiro"/>
      <sheetName val="Sheet1"/>
    </sheetNames>
    <sheetDataSet>
      <sheetData sheetId="0"/>
      <sheetData sheetId="1">
        <row r="308">
          <cell r="CE308">
            <v>50.13521120259113</v>
          </cell>
        </row>
        <row r="2867">
          <cell r="CI2867">
            <v>3013.4037462473789</v>
          </cell>
        </row>
        <row r="2868">
          <cell r="CI2868">
            <v>3610.4015950407138</v>
          </cell>
        </row>
        <row r="2869">
          <cell r="CI2869">
            <v>1767.2032924512816</v>
          </cell>
        </row>
        <row r="2870">
          <cell r="CI2870">
            <v>2250.8493294767291</v>
          </cell>
        </row>
        <row r="2871">
          <cell r="CI2871">
            <v>1640.1144366197184</v>
          </cell>
        </row>
        <row r="2873">
          <cell r="CI2873">
            <v>3624.1665957386444</v>
          </cell>
        </row>
        <row r="2874">
          <cell r="CI2874">
            <v>1872.5343538006609</v>
          </cell>
        </row>
        <row r="2875">
          <cell r="CI2875">
            <v>6962.3719328454581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305"/>
  <sheetViews>
    <sheetView tabSelected="1" workbookViewId="0">
      <selection activeCell="Z265" sqref="Z265"/>
    </sheetView>
  </sheetViews>
  <sheetFormatPr defaultColWidth="9.33203125" defaultRowHeight="13.2" outlineLevelRow="1" x14ac:dyDescent="0.25"/>
  <cols>
    <col min="1" max="1" width="31" style="1" bestFit="1" customWidth="1"/>
    <col min="2" max="2" width="10.77734375" style="1" customWidth="1"/>
    <col min="3" max="3" width="11.77734375" style="1" customWidth="1"/>
    <col min="4" max="10" width="10.6640625" style="1" customWidth="1"/>
    <col min="11" max="11" width="11.6640625" style="1" bestFit="1" customWidth="1"/>
    <col min="12" max="14" width="9.33203125" style="1"/>
    <col min="15" max="15" width="6.6640625" style="1" customWidth="1"/>
    <col min="16" max="16" width="7.33203125" style="1" customWidth="1"/>
    <col min="17" max="17" width="3.77734375" style="1" customWidth="1"/>
    <col min="18" max="18" width="1.33203125" style="3" customWidth="1"/>
    <col min="19" max="19" width="9.33203125" style="1"/>
    <col min="20" max="20" width="9.33203125" style="2"/>
    <col min="21" max="16384" width="9.33203125" style="1"/>
  </cols>
  <sheetData>
    <row r="2" spans="1:5" x14ac:dyDescent="0.25">
      <c r="B2" s="13" t="s">
        <v>17</v>
      </c>
      <c r="C2" s="13" t="s">
        <v>14</v>
      </c>
      <c r="D2" s="1" t="s">
        <v>18</v>
      </c>
      <c r="E2" s="1" t="s">
        <v>15</v>
      </c>
    </row>
    <row r="3" spans="1:5" x14ac:dyDescent="0.25">
      <c r="A3" s="36">
        <v>2000</v>
      </c>
      <c r="B3" s="2">
        <v>153</v>
      </c>
      <c r="C3" s="2">
        <v>158.4</v>
      </c>
      <c r="D3" s="2">
        <v>130.19999999999999</v>
      </c>
      <c r="E3" s="2">
        <v>28.2</v>
      </c>
    </row>
    <row r="4" spans="1:5" hidden="1" outlineLevel="1" x14ac:dyDescent="0.25">
      <c r="A4" s="36">
        <v>2001</v>
      </c>
      <c r="B4" s="2">
        <v>169</v>
      </c>
      <c r="C4" s="2">
        <v>170.4</v>
      </c>
      <c r="D4" s="2">
        <v>137.6</v>
      </c>
      <c r="E4" s="2">
        <v>32.700000000000003</v>
      </c>
    </row>
    <row r="5" spans="1:5" hidden="1" outlineLevel="1" x14ac:dyDescent="0.25">
      <c r="A5" s="36">
        <v>2002</v>
      </c>
      <c r="B5" s="2">
        <v>168.4</v>
      </c>
      <c r="C5" s="2">
        <v>161.30000000000001</v>
      </c>
      <c r="D5" s="2">
        <v>127.7</v>
      </c>
      <c r="E5" s="2">
        <v>33.6</v>
      </c>
    </row>
    <row r="6" spans="1:5" hidden="1" outlineLevel="1" x14ac:dyDescent="0.25">
      <c r="A6" s="36">
        <v>2003</v>
      </c>
      <c r="B6" s="2">
        <v>222.1</v>
      </c>
      <c r="C6" s="2">
        <v>217.6</v>
      </c>
      <c r="D6" s="2">
        <v>169.3</v>
      </c>
      <c r="E6" s="2">
        <v>48.3</v>
      </c>
    </row>
    <row r="7" spans="1:5" hidden="1" outlineLevel="1" x14ac:dyDescent="0.25">
      <c r="A7" s="36">
        <v>2004</v>
      </c>
      <c r="B7" s="2">
        <v>334</v>
      </c>
      <c r="C7" s="2">
        <v>322.3</v>
      </c>
      <c r="D7" s="2">
        <v>253.3</v>
      </c>
      <c r="E7" s="2">
        <v>68.900000000000006</v>
      </c>
    </row>
    <row r="8" spans="1:5" collapsed="1" x14ac:dyDescent="0.25">
      <c r="A8" s="36">
        <v>2005</v>
      </c>
      <c r="B8" s="2">
        <v>355.1</v>
      </c>
      <c r="C8" s="2">
        <v>354.7</v>
      </c>
      <c r="D8" s="2">
        <v>284.8</v>
      </c>
      <c r="E8" s="2">
        <v>69.8</v>
      </c>
    </row>
    <row r="9" spans="1:5" hidden="1" outlineLevel="1" x14ac:dyDescent="0.25">
      <c r="A9" s="36">
        <v>2006</v>
      </c>
      <c r="B9" s="2">
        <v>438.7</v>
      </c>
      <c r="C9" s="2">
        <v>441</v>
      </c>
      <c r="D9" s="2">
        <v>344.9</v>
      </c>
      <c r="E9" s="2">
        <v>96</v>
      </c>
    </row>
    <row r="10" spans="1:5" hidden="1" outlineLevel="1" x14ac:dyDescent="0.25">
      <c r="A10" s="36">
        <v>2007</v>
      </c>
      <c r="B10" s="2">
        <v>516.4</v>
      </c>
      <c r="C10" s="2">
        <v>519.29999999999995</v>
      </c>
      <c r="D10" s="2">
        <v>407.9</v>
      </c>
      <c r="E10" s="2">
        <v>111.5</v>
      </c>
    </row>
    <row r="11" spans="1:5" hidden="1" outlineLevel="1" x14ac:dyDescent="0.25">
      <c r="A11" s="36">
        <v>2008</v>
      </c>
      <c r="B11" s="2">
        <v>562.6</v>
      </c>
      <c r="C11" s="2">
        <v>563</v>
      </c>
      <c r="D11" s="2">
        <v>459.6</v>
      </c>
      <c r="E11" s="2">
        <v>103.4</v>
      </c>
    </row>
    <row r="12" spans="1:5" hidden="1" outlineLevel="1" x14ac:dyDescent="0.25">
      <c r="A12" s="36">
        <v>2009</v>
      </c>
      <c r="B12" s="2">
        <v>338</v>
      </c>
      <c r="C12" s="2">
        <v>357.5</v>
      </c>
      <c r="D12" s="2">
        <v>307.2</v>
      </c>
      <c r="E12" s="2">
        <v>50.2</v>
      </c>
    </row>
    <row r="13" spans="1:5" collapsed="1" x14ac:dyDescent="0.25">
      <c r="A13" s="36">
        <v>2010</v>
      </c>
      <c r="B13" s="2">
        <v>454.7</v>
      </c>
      <c r="C13" s="2">
        <v>421.6</v>
      </c>
      <c r="D13" s="2">
        <v>372.3</v>
      </c>
      <c r="E13" s="2">
        <v>49.3</v>
      </c>
    </row>
    <row r="14" spans="1:5" hidden="1" outlineLevel="1" x14ac:dyDescent="0.25">
      <c r="A14" s="36">
        <v>2011</v>
      </c>
      <c r="B14" s="2">
        <v>469.9</v>
      </c>
      <c r="C14" s="2">
        <v>477.7</v>
      </c>
      <c r="D14" s="2">
        <v>417.6</v>
      </c>
      <c r="E14" s="2">
        <v>60.1</v>
      </c>
    </row>
    <row r="15" spans="1:5" hidden="1" outlineLevel="1" x14ac:dyDescent="0.25">
      <c r="A15" s="36">
        <v>2012</v>
      </c>
      <c r="B15" s="2">
        <v>607.9</v>
      </c>
      <c r="C15" s="2">
        <v>629.20000000000005</v>
      </c>
      <c r="D15" s="2">
        <v>567.6</v>
      </c>
      <c r="E15" s="2">
        <v>61.5</v>
      </c>
    </row>
    <row r="16" spans="1:5" hidden="1" outlineLevel="1" x14ac:dyDescent="0.25">
      <c r="A16" s="36">
        <v>2013</v>
      </c>
      <c r="B16" s="2">
        <v>285</v>
      </c>
      <c r="C16" s="2">
        <v>332.4</v>
      </c>
      <c r="D16" s="2">
        <v>278.89999999999998</v>
      </c>
      <c r="E16" s="2">
        <v>53</v>
      </c>
    </row>
    <row r="17" spans="1:5" hidden="1" outlineLevel="1" x14ac:dyDescent="0.25">
      <c r="A17" s="36">
        <v>2014</v>
      </c>
      <c r="B17" s="2">
        <v>206.2</v>
      </c>
      <c r="C17" s="2">
        <v>211</v>
      </c>
      <c r="D17" s="2">
        <v>157.69999999999999</v>
      </c>
      <c r="E17" s="2">
        <v>54.5</v>
      </c>
    </row>
    <row r="18" spans="1:5" collapsed="1" x14ac:dyDescent="0.25">
      <c r="A18" s="36">
        <v>2015</v>
      </c>
      <c r="B18" s="2">
        <v>255.482</v>
      </c>
      <c r="C18" s="2">
        <v>281.346</v>
      </c>
      <c r="D18" s="2">
        <v>227.66399999999999</v>
      </c>
      <c r="E18" s="2">
        <v>53.682000000000002</v>
      </c>
    </row>
    <row r="19" spans="1:5" hidden="1" outlineLevel="1" x14ac:dyDescent="0.25">
      <c r="A19" s="36">
        <v>2016</v>
      </c>
      <c r="B19" s="13">
        <v>217.99080000000001</v>
      </c>
      <c r="C19" s="13">
        <v>233.93600000000001</v>
      </c>
      <c r="D19" s="13">
        <v>179.7</v>
      </c>
      <c r="E19" s="37">
        <v>54.244999999999997</v>
      </c>
    </row>
    <row r="20" spans="1:5" hidden="1" outlineLevel="1" x14ac:dyDescent="0.25">
      <c r="A20" s="36">
        <v>2017</v>
      </c>
      <c r="B20" s="13">
        <v>271.07319999999999</v>
      </c>
      <c r="C20" s="13">
        <v>279.91840000000002</v>
      </c>
      <c r="D20" s="13">
        <v>212.65</v>
      </c>
      <c r="E20" s="13">
        <v>67.268000000000001</v>
      </c>
    </row>
    <row r="21" spans="1:5" hidden="1" outlineLevel="1" x14ac:dyDescent="0.25">
      <c r="A21" s="36">
        <v>2018</v>
      </c>
      <c r="B21" s="1">
        <v>282.39999999999998</v>
      </c>
      <c r="C21" s="13">
        <v>287</v>
      </c>
      <c r="D21" s="1">
        <v>222.5</v>
      </c>
      <c r="E21" s="1">
        <v>64.5</v>
      </c>
    </row>
    <row r="22" spans="1:5" hidden="1" outlineLevel="1" x14ac:dyDescent="0.25">
      <c r="A22" s="36">
        <v>2019</v>
      </c>
      <c r="B22" s="1">
        <v>311.5</v>
      </c>
      <c r="C22" s="1">
        <v>310.3</v>
      </c>
      <c r="D22" s="1">
        <v>239.7</v>
      </c>
      <c r="E22" s="1">
        <v>70.599999999999994</v>
      </c>
    </row>
    <row r="23" spans="1:5" collapsed="1" x14ac:dyDescent="0.25">
      <c r="A23" s="36">
        <v>2020</v>
      </c>
      <c r="B23" s="1">
        <v>338.3</v>
      </c>
      <c r="C23" s="1">
        <v>343.8</v>
      </c>
      <c r="D23" s="13">
        <v>261.06099999999998</v>
      </c>
      <c r="E23" s="13">
        <v>82.707999999999998</v>
      </c>
    </row>
    <row r="24" spans="1:5" x14ac:dyDescent="0.25">
      <c r="A24" s="36">
        <v>2021</v>
      </c>
      <c r="B24" s="13">
        <v>411.26</v>
      </c>
      <c r="C24" s="13">
        <v>421.67</v>
      </c>
      <c r="D24" s="1">
        <v>326.89999999999998</v>
      </c>
      <c r="E24" s="13">
        <v>94.769000000000005</v>
      </c>
    </row>
    <row r="25" spans="1:5" x14ac:dyDescent="0.25">
      <c r="A25" s="36">
        <v>2022</v>
      </c>
      <c r="B25" s="13">
        <v>510.84949999999998</v>
      </c>
      <c r="C25" s="13">
        <v>516.21299999999997</v>
      </c>
      <c r="D25" s="13">
        <v>410.79500000000002</v>
      </c>
      <c r="E25" s="13">
        <v>105.41800000000001</v>
      </c>
    </row>
    <row r="26" spans="1:5" x14ac:dyDescent="0.25">
      <c r="A26" s="36"/>
      <c r="B26" s="13"/>
      <c r="C26" s="13"/>
      <c r="D26" s="13"/>
      <c r="E26" s="13"/>
    </row>
    <row r="27" spans="1:5" x14ac:dyDescent="0.25">
      <c r="A27" s="36"/>
      <c r="B27" s="13"/>
      <c r="C27" s="13"/>
      <c r="D27" s="13"/>
      <c r="E27" s="13"/>
    </row>
    <row r="28" spans="1:5" x14ac:dyDescent="0.25">
      <c r="A28" s="36"/>
      <c r="B28" s="13"/>
      <c r="C28" s="13"/>
      <c r="D28" s="13"/>
      <c r="E28" s="13"/>
    </row>
    <row r="29" spans="1:5" x14ac:dyDescent="0.25">
      <c r="A29" s="36"/>
      <c r="B29" s="13"/>
      <c r="C29" s="13"/>
      <c r="D29" s="13"/>
      <c r="E29" s="13"/>
    </row>
    <row r="30" spans="1:5" x14ac:dyDescent="0.25">
      <c r="A30" s="36"/>
    </row>
    <row r="31" spans="1:5" x14ac:dyDescent="0.25">
      <c r="A31" s="36"/>
    </row>
    <row r="32" spans="1:5" x14ac:dyDescent="0.25">
      <c r="A32" s="36"/>
    </row>
    <row r="33" spans="1:26" x14ac:dyDescent="0.25">
      <c r="A33" s="36"/>
    </row>
    <row r="34" spans="1:26" x14ac:dyDescent="0.25">
      <c r="A34" s="36"/>
    </row>
    <row r="35" spans="1:26" x14ac:dyDescent="0.25">
      <c r="A35" s="36"/>
    </row>
    <row r="36" spans="1:26" x14ac:dyDescent="0.25">
      <c r="A36" s="36"/>
      <c r="Z36" s="1" t="s">
        <v>19</v>
      </c>
    </row>
    <row r="39" spans="1:26" s="3" customFormat="1" ht="5.25" customHeight="1" x14ac:dyDescent="0.25">
      <c r="T39" s="4"/>
    </row>
    <row r="41" spans="1:26" x14ac:dyDescent="0.25">
      <c r="B41" s="1" t="s">
        <v>0</v>
      </c>
      <c r="C41" s="1" t="s">
        <v>2</v>
      </c>
      <c r="D41" s="1" t="s">
        <v>3</v>
      </c>
      <c r="E41" s="1" t="s">
        <v>4</v>
      </c>
      <c r="F41" s="1" t="s">
        <v>20</v>
      </c>
      <c r="G41" s="1" t="s">
        <v>1</v>
      </c>
      <c r="H41" s="1" t="s">
        <v>6</v>
      </c>
      <c r="I41" s="1" t="s">
        <v>12</v>
      </c>
      <c r="J41" s="1" t="s">
        <v>7</v>
      </c>
    </row>
    <row r="42" spans="1:26" x14ac:dyDescent="0.25">
      <c r="A42" s="14" t="s">
        <v>13</v>
      </c>
      <c r="B42" s="45">
        <v>5880.7609951736795</v>
      </c>
      <c r="C42" s="45">
        <v>5898.7604370218332</v>
      </c>
      <c r="D42" s="45">
        <v>3741.3062777425494</v>
      </c>
      <c r="E42" s="45">
        <v>5777.1828725654677</v>
      </c>
      <c r="F42" s="45">
        <v>327.39161030532858</v>
      </c>
      <c r="G42" s="45">
        <v>7614.6181135225379</v>
      </c>
      <c r="H42" s="45">
        <v>6779.949200090985</v>
      </c>
      <c r="I42" s="45"/>
      <c r="J42" s="45">
        <v>12048.036299623649</v>
      </c>
      <c r="K42" s="32"/>
    </row>
    <row r="43" spans="1:26" ht="26.4" x14ac:dyDescent="0.25">
      <c r="A43" s="15" t="s">
        <v>14</v>
      </c>
      <c r="B43" s="46">
        <v>5996.2789324315136</v>
      </c>
      <c r="C43" s="46">
        <v>5975.8327057584302</v>
      </c>
      <c r="D43" s="46">
        <v>3803.5180722891564</v>
      </c>
      <c r="E43" s="46">
        <v>5979.8873003136623</v>
      </c>
      <c r="F43" s="46"/>
      <c r="G43" s="46">
        <v>7694.5668375864543</v>
      </c>
      <c r="H43" s="46">
        <v>6771.449692925923</v>
      </c>
      <c r="I43" s="46"/>
      <c r="J43" s="46">
        <v>11835</v>
      </c>
    </row>
    <row r="44" spans="1:26" x14ac:dyDescent="0.25">
      <c r="A44" s="15" t="s">
        <v>15</v>
      </c>
      <c r="B44" s="45">
        <v>2007</v>
      </c>
      <c r="C44" s="45">
        <v>1809</v>
      </c>
      <c r="D44" s="45">
        <v>1066</v>
      </c>
      <c r="E44" s="45">
        <v>1730</v>
      </c>
      <c r="F44" s="45"/>
      <c r="G44" s="45">
        <v>1571</v>
      </c>
      <c r="H44" s="47"/>
      <c r="I44" s="45"/>
      <c r="J44" s="45">
        <v>1248</v>
      </c>
    </row>
    <row r="45" spans="1:26" x14ac:dyDescent="0.25">
      <c r="A45" s="16" t="s">
        <v>16</v>
      </c>
      <c r="B45" s="45">
        <v>3989</v>
      </c>
      <c r="C45" s="45">
        <v>4167</v>
      </c>
      <c r="D45" s="45">
        <v>2738</v>
      </c>
      <c r="E45" s="45">
        <v>4250</v>
      </c>
      <c r="F45" s="45"/>
      <c r="G45" s="45">
        <v>6123</v>
      </c>
      <c r="H45" s="47"/>
      <c r="I45" s="45"/>
      <c r="J45" s="45">
        <v>10587</v>
      </c>
      <c r="K45" s="32"/>
    </row>
    <row r="46" spans="1:26" x14ac:dyDescent="0.25">
      <c r="B46" s="45"/>
      <c r="C46" s="45"/>
      <c r="D46" s="45"/>
      <c r="E46" s="45"/>
      <c r="F46" s="45"/>
      <c r="G46" s="45"/>
      <c r="H46" s="45"/>
      <c r="I46" s="45"/>
      <c r="J46" s="45"/>
    </row>
    <row r="49" spans="2:21" x14ac:dyDescent="0.25">
      <c r="B49" s="44"/>
      <c r="C49" s="44"/>
    </row>
    <row r="50" spans="2:21" x14ac:dyDescent="0.25">
      <c r="B50" s="44"/>
      <c r="C50" s="44"/>
    </row>
    <row r="51" spans="2:21" x14ac:dyDescent="0.25">
      <c r="B51" s="44"/>
      <c r="C51" s="44"/>
    </row>
    <row r="52" spans="2:21" x14ac:dyDescent="0.25">
      <c r="B52" s="44"/>
      <c r="C52" s="44"/>
    </row>
    <row r="53" spans="2:21" x14ac:dyDescent="0.25">
      <c r="B53" s="44"/>
      <c r="C53" s="44"/>
    </row>
    <row r="54" spans="2:21" x14ac:dyDescent="0.25">
      <c r="B54" s="44"/>
      <c r="C54" s="44"/>
    </row>
    <row r="55" spans="2:21" x14ac:dyDescent="0.25">
      <c r="B55" s="44"/>
      <c r="C55" s="44"/>
      <c r="U55" s="1" t="s">
        <v>19</v>
      </c>
    </row>
    <row r="56" spans="2:21" x14ac:dyDescent="0.25">
      <c r="B56" s="44"/>
      <c r="C56" s="44"/>
    </row>
    <row r="57" spans="2:21" x14ac:dyDescent="0.25">
      <c r="C57" s="44"/>
    </row>
    <row r="58" spans="2:21" x14ac:dyDescent="0.25">
      <c r="C58" s="44"/>
    </row>
    <row r="64" spans="2:21" s="3" customFormat="1" ht="5.25" customHeight="1" x14ac:dyDescent="0.25">
      <c r="T64" s="4"/>
    </row>
    <row r="66" spans="1:19" x14ac:dyDescent="0.25">
      <c r="A66" s="28"/>
      <c r="B66" s="28" t="s">
        <v>2</v>
      </c>
      <c r="C66" s="28" t="s">
        <v>3</v>
      </c>
      <c r="D66" s="28" t="s">
        <v>4</v>
      </c>
      <c r="E66" s="17" t="s">
        <v>11</v>
      </c>
      <c r="F66" s="28" t="s">
        <v>5</v>
      </c>
      <c r="G66" s="28" t="s">
        <v>1</v>
      </c>
      <c r="H66" s="28" t="s">
        <v>6</v>
      </c>
      <c r="I66" s="17" t="s">
        <v>12</v>
      </c>
      <c r="J66" s="28" t="s">
        <v>7</v>
      </c>
    </row>
    <row r="67" spans="1:19" x14ac:dyDescent="0.25">
      <c r="A67" s="18">
        <v>2000</v>
      </c>
      <c r="B67" s="19">
        <v>47.5</v>
      </c>
      <c r="C67" s="19">
        <v>2.9</v>
      </c>
      <c r="D67" s="19">
        <v>3.2</v>
      </c>
      <c r="E67" s="17"/>
      <c r="F67" s="19">
        <v>1.4</v>
      </c>
      <c r="G67" s="19">
        <f>[1]īpatsvars_salīdz!F3</f>
        <v>8.8000000000000007</v>
      </c>
      <c r="H67" s="19">
        <v>1.4</v>
      </c>
      <c r="I67" s="17"/>
      <c r="J67" s="19">
        <v>0.4</v>
      </c>
    </row>
    <row r="68" spans="1:19" hidden="1" outlineLevel="1" x14ac:dyDescent="0.25">
      <c r="A68" s="18">
        <v>2001</v>
      </c>
      <c r="B68" s="19">
        <v>47.5</v>
      </c>
      <c r="C68" s="19">
        <v>3.1</v>
      </c>
      <c r="D68" s="19">
        <v>2.6</v>
      </c>
      <c r="E68" s="17"/>
      <c r="F68" s="19">
        <v>0.7</v>
      </c>
      <c r="G68" s="19">
        <v>8.1999999999999993</v>
      </c>
      <c r="H68" s="19">
        <v>1.3</v>
      </c>
      <c r="I68" s="17"/>
      <c r="J68" s="19">
        <v>0.3</v>
      </c>
    </row>
    <row r="69" spans="1:19" hidden="1" outlineLevel="1" x14ac:dyDescent="0.25">
      <c r="A69" s="18">
        <v>2002</v>
      </c>
      <c r="B69" s="19">
        <v>50.4</v>
      </c>
      <c r="C69" s="19">
        <v>3.3</v>
      </c>
      <c r="D69" s="19">
        <v>2.9</v>
      </c>
      <c r="E69" s="17"/>
      <c r="F69" s="19">
        <v>0.7</v>
      </c>
      <c r="G69" s="19">
        <v>7.5</v>
      </c>
      <c r="H69" s="19">
        <v>1.2</v>
      </c>
      <c r="I69" s="17"/>
      <c r="J69" s="19">
        <v>0.3</v>
      </c>
    </row>
    <row r="70" spans="1:19" hidden="1" outlineLevel="1" x14ac:dyDescent="0.25">
      <c r="A70" s="18">
        <v>2003</v>
      </c>
      <c r="B70" s="19">
        <v>47.7</v>
      </c>
      <c r="C70" s="19">
        <v>3.1</v>
      </c>
      <c r="D70" s="19">
        <v>2.6</v>
      </c>
      <c r="E70" s="17"/>
      <c r="F70" s="19">
        <v>0.7</v>
      </c>
      <c r="G70" s="19">
        <v>8.6</v>
      </c>
      <c r="H70" s="19">
        <v>1.6</v>
      </c>
      <c r="I70" s="17"/>
      <c r="J70" s="19">
        <v>0.2</v>
      </c>
    </row>
    <row r="71" spans="1:19" hidden="1" outlineLevel="1" x14ac:dyDescent="0.25">
      <c r="A71" s="18" t="s">
        <v>9</v>
      </c>
      <c r="B71" s="19">
        <v>45.1</v>
      </c>
      <c r="C71" s="19">
        <v>3.2</v>
      </c>
      <c r="D71" s="19">
        <v>2.4</v>
      </c>
      <c r="E71" s="17"/>
      <c r="F71" s="19">
        <v>0.7</v>
      </c>
      <c r="G71" s="19">
        <v>10.6</v>
      </c>
      <c r="H71" s="19">
        <v>1.5</v>
      </c>
      <c r="I71" s="17"/>
      <c r="J71" s="19">
        <v>0.4</v>
      </c>
    </row>
    <row r="72" spans="1:19" collapsed="1" x14ac:dyDescent="0.25">
      <c r="A72" s="18" t="s">
        <v>10</v>
      </c>
      <c r="B72" s="19">
        <v>45.8</v>
      </c>
      <c r="C72" s="19">
        <v>3.4</v>
      </c>
      <c r="D72" s="19">
        <v>2.2000000000000002</v>
      </c>
      <c r="E72" s="17"/>
      <c r="F72" s="19">
        <v>0.5</v>
      </c>
      <c r="G72" s="19">
        <v>9.5</v>
      </c>
      <c r="H72" s="19">
        <v>1.4</v>
      </c>
      <c r="I72" s="17"/>
      <c r="J72" s="19">
        <v>0.2</v>
      </c>
    </row>
    <row r="73" spans="1:19" hidden="1" outlineLevel="1" x14ac:dyDescent="0.25">
      <c r="A73" s="20">
        <v>2006</v>
      </c>
      <c r="B73" s="19">
        <v>44.5</v>
      </c>
      <c r="C73" s="19">
        <v>3</v>
      </c>
      <c r="D73" s="19">
        <v>2</v>
      </c>
      <c r="E73" s="17"/>
      <c r="F73" s="19">
        <v>0.2</v>
      </c>
      <c r="G73" s="19">
        <v>10</v>
      </c>
      <c r="H73" s="19">
        <v>1.4</v>
      </c>
      <c r="I73" s="17"/>
      <c r="J73" s="19">
        <v>1</v>
      </c>
    </row>
    <row r="74" spans="1:19" hidden="1" outlineLevel="1" x14ac:dyDescent="0.25">
      <c r="A74" s="20">
        <v>2007</v>
      </c>
      <c r="B74" s="19">
        <v>43.548999999999999</v>
      </c>
      <c r="C74" s="19">
        <v>2.8420000000000001</v>
      </c>
      <c r="D74" s="19">
        <v>1.6737</v>
      </c>
      <c r="E74" s="17"/>
      <c r="F74" s="19">
        <v>0.22</v>
      </c>
      <c r="G74" s="19">
        <v>9.9920000000000009</v>
      </c>
      <c r="H74" s="19">
        <v>1.3520000000000001</v>
      </c>
      <c r="I74" s="17"/>
      <c r="J74" s="19">
        <v>0.92789999999999995</v>
      </c>
    </row>
    <row r="75" spans="1:19" s="5" customFormat="1" hidden="1" outlineLevel="1" x14ac:dyDescent="0.25">
      <c r="A75" s="21">
        <v>2008</v>
      </c>
      <c r="B75" s="19">
        <v>43.045000000000002</v>
      </c>
      <c r="C75" s="19">
        <v>3.09</v>
      </c>
      <c r="D75" s="19">
        <v>1.5840000000000001</v>
      </c>
      <c r="E75" s="33"/>
      <c r="F75" s="19">
        <v>0.26100000000000001</v>
      </c>
      <c r="G75" s="19">
        <v>10.532</v>
      </c>
      <c r="H75" s="19">
        <v>1.1895</v>
      </c>
      <c r="I75" s="33"/>
      <c r="J75" s="19">
        <v>1.6485000000000001</v>
      </c>
      <c r="L75" s="6"/>
      <c r="M75" s="6"/>
      <c r="N75" s="6"/>
      <c r="O75" s="6"/>
      <c r="P75" s="6"/>
      <c r="Q75" s="6"/>
      <c r="R75" s="3"/>
      <c r="S75" s="7"/>
    </row>
    <row r="76" spans="1:19" s="5" customFormat="1" hidden="1" outlineLevel="1" x14ac:dyDescent="0.25">
      <c r="A76" s="21">
        <v>2009</v>
      </c>
      <c r="B76" s="19">
        <v>41.110999999999997</v>
      </c>
      <c r="C76" s="19">
        <v>2.82</v>
      </c>
      <c r="D76" s="19">
        <v>1.5755999999999999</v>
      </c>
      <c r="E76" s="33"/>
      <c r="F76" s="19">
        <v>0.313</v>
      </c>
      <c r="G76" s="19">
        <v>8.6539999999999999</v>
      </c>
      <c r="H76" s="19">
        <v>0.97960000000000003</v>
      </c>
      <c r="I76" s="33"/>
      <c r="J76" s="19">
        <v>2.2241</v>
      </c>
      <c r="L76" s="6"/>
      <c r="M76" s="6"/>
      <c r="N76" s="6"/>
      <c r="O76" s="6"/>
      <c r="P76" s="6"/>
      <c r="Q76" s="6"/>
      <c r="R76" s="3"/>
      <c r="S76" s="7"/>
    </row>
    <row r="77" spans="1:19" collapsed="1" x14ac:dyDescent="0.25">
      <c r="A77" s="20">
        <v>2010</v>
      </c>
      <c r="B77" s="25">
        <v>41.3</v>
      </c>
      <c r="C77" s="25">
        <v>2.6</v>
      </c>
      <c r="D77" s="27">
        <v>1.6</v>
      </c>
      <c r="E77" s="17"/>
      <c r="F77" s="25">
        <v>0.3</v>
      </c>
      <c r="G77" s="25">
        <v>9.8000000000000007</v>
      </c>
      <c r="H77" s="25">
        <v>0.9</v>
      </c>
      <c r="I77" s="17"/>
      <c r="J77" s="25">
        <v>1.8</v>
      </c>
    </row>
    <row r="78" spans="1:19" hidden="1" outlineLevel="1" x14ac:dyDescent="0.25">
      <c r="A78" s="20">
        <v>2011</v>
      </c>
      <c r="B78" s="17">
        <v>40.9</v>
      </c>
      <c r="C78" s="17">
        <v>2.8</v>
      </c>
      <c r="D78" s="17">
        <v>1.8</v>
      </c>
      <c r="E78" s="17"/>
      <c r="F78" s="17">
        <v>0.2</v>
      </c>
      <c r="G78" s="17">
        <v>8.6999999999999993</v>
      </c>
      <c r="H78" s="34">
        <v>1</v>
      </c>
      <c r="I78" s="17"/>
      <c r="J78" s="17">
        <v>2.2999999999999998</v>
      </c>
    </row>
    <row r="79" spans="1:19" hidden="1" outlineLevel="1" x14ac:dyDescent="0.25">
      <c r="A79" s="20">
        <v>2012</v>
      </c>
      <c r="B79" s="17">
        <v>39.9</v>
      </c>
      <c r="C79" s="17">
        <v>2.7</v>
      </c>
      <c r="D79" s="17">
        <v>1.9</v>
      </c>
      <c r="E79" s="17"/>
      <c r="F79" s="17">
        <v>0.2</v>
      </c>
      <c r="G79" s="17">
        <v>10.1</v>
      </c>
      <c r="H79" s="17">
        <v>0.9</v>
      </c>
      <c r="I79" s="17"/>
      <c r="J79" s="17">
        <v>2.6</v>
      </c>
    </row>
    <row r="80" spans="1:19" hidden="1" outlineLevel="1" x14ac:dyDescent="0.25">
      <c r="A80" s="20">
        <v>2013</v>
      </c>
      <c r="B80" s="17">
        <v>42.4</v>
      </c>
      <c r="C80" s="17">
        <v>2.6</v>
      </c>
      <c r="D80" s="17">
        <v>2.2000000000000002</v>
      </c>
      <c r="E80" s="17">
        <v>1.4</v>
      </c>
      <c r="F80" s="17">
        <v>0.3</v>
      </c>
      <c r="G80" s="17">
        <v>4.8</v>
      </c>
      <c r="H80" s="17">
        <v>0.8</v>
      </c>
      <c r="I80" s="17">
        <v>2.6</v>
      </c>
      <c r="J80" s="17">
        <v>2.2000000000000002</v>
      </c>
    </row>
    <row r="81" spans="1:10" hidden="1" outlineLevel="1" x14ac:dyDescent="0.25">
      <c r="A81" s="20">
        <v>2014</v>
      </c>
      <c r="B81" s="17">
        <v>39.299999999999997</v>
      </c>
      <c r="C81" s="17">
        <v>2.6</v>
      </c>
      <c r="D81" s="17">
        <v>2.1</v>
      </c>
      <c r="E81" s="17">
        <v>1.4</v>
      </c>
      <c r="F81" s="17">
        <v>0.3</v>
      </c>
      <c r="G81" s="17">
        <v>3.5</v>
      </c>
      <c r="H81" s="34">
        <v>1</v>
      </c>
      <c r="I81" s="17">
        <v>2.9</v>
      </c>
      <c r="J81" s="17">
        <v>2.5</v>
      </c>
    </row>
    <row r="82" spans="1:10" collapsed="1" x14ac:dyDescent="0.25">
      <c r="A82" s="38">
        <v>2015</v>
      </c>
      <c r="B82" s="39">
        <v>38.9</v>
      </c>
      <c r="C82" s="39">
        <v>2.5</v>
      </c>
      <c r="D82" s="40">
        <v>2.2000000000000002</v>
      </c>
      <c r="E82" s="39">
        <v>0.6</v>
      </c>
      <c r="F82" s="41"/>
      <c r="G82" s="39">
        <v>4.3</v>
      </c>
      <c r="H82" s="39">
        <v>0.9</v>
      </c>
      <c r="I82" s="1">
        <v>2.7</v>
      </c>
      <c r="J82" s="1">
        <v>2.4</v>
      </c>
    </row>
    <row r="83" spans="1:10" hidden="1" outlineLevel="1" x14ac:dyDescent="0.25">
      <c r="A83" s="20">
        <v>2016</v>
      </c>
      <c r="B83" s="17">
        <v>38.9</v>
      </c>
      <c r="C83" s="17">
        <v>2.5</v>
      </c>
      <c r="D83" s="17">
        <v>2.2000000000000002</v>
      </c>
      <c r="E83" s="17">
        <v>0.7</v>
      </c>
      <c r="F83" s="17"/>
      <c r="G83" s="17">
        <v>3.6</v>
      </c>
      <c r="H83" s="34">
        <v>1</v>
      </c>
      <c r="I83" s="17">
        <v>2.8</v>
      </c>
      <c r="J83" s="17">
        <v>2.1</v>
      </c>
    </row>
    <row r="84" spans="1:10" hidden="1" outlineLevel="1" x14ac:dyDescent="0.25">
      <c r="A84" s="20">
        <v>2017</v>
      </c>
      <c r="B84" s="17">
        <v>37.4</v>
      </c>
      <c r="C84" s="17">
        <v>2.6</v>
      </c>
      <c r="D84" s="17">
        <v>2.6</v>
      </c>
      <c r="E84" s="17">
        <v>0.7</v>
      </c>
      <c r="F84" s="17"/>
      <c r="G84" s="34">
        <v>4</v>
      </c>
      <c r="H84" s="17">
        <v>1.1000000000000001</v>
      </c>
      <c r="I84" s="17">
        <v>2.6</v>
      </c>
      <c r="J84" s="17">
        <v>2.6</v>
      </c>
    </row>
    <row r="85" spans="1:10" hidden="1" outlineLevel="1" x14ac:dyDescent="0.25">
      <c r="A85" s="20">
        <v>2018</v>
      </c>
      <c r="B85" s="17">
        <v>35.9</v>
      </c>
      <c r="C85" s="17">
        <v>2.6</v>
      </c>
      <c r="D85" s="17">
        <v>2.8</v>
      </c>
      <c r="E85" s="17">
        <v>0.8</v>
      </c>
      <c r="F85" s="17"/>
      <c r="G85" s="17">
        <v>3.9</v>
      </c>
      <c r="H85" s="17">
        <v>1.1000000000000001</v>
      </c>
      <c r="I85" s="17">
        <v>2.4</v>
      </c>
      <c r="J85" s="17">
        <v>3.5</v>
      </c>
    </row>
    <row r="86" spans="1:10" hidden="1" outlineLevel="1" x14ac:dyDescent="0.25">
      <c r="A86" s="20">
        <v>2019</v>
      </c>
      <c r="B86" s="34">
        <v>35</v>
      </c>
      <c r="C86" s="17">
        <v>2.8</v>
      </c>
      <c r="D86" s="17">
        <v>2.9</v>
      </c>
      <c r="E86" s="17">
        <v>0.6</v>
      </c>
      <c r="F86" s="17"/>
      <c r="G86" s="17">
        <v>4.0999999999999996</v>
      </c>
      <c r="H86" s="17">
        <v>1.3</v>
      </c>
      <c r="I86" s="17">
        <v>2.2000000000000002</v>
      </c>
      <c r="J86" s="17">
        <v>3.2</v>
      </c>
    </row>
    <row r="87" spans="1:10" collapsed="1" x14ac:dyDescent="0.25">
      <c r="A87" s="20">
        <v>2020</v>
      </c>
      <c r="B87" s="17">
        <v>35.5</v>
      </c>
      <c r="C87" s="17">
        <v>2.8</v>
      </c>
      <c r="D87" s="17">
        <v>2.8</v>
      </c>
      <c r="E87" s="17">
        <v>0.6</v>
      </c>
      <c r="F87" s="17"/>
      <c r="G87" s="17">
        <v>4.4000000000000004</v>
      </c>
      <c r="H87" s="17">
        <v>1.3</v>
      </c>
      <c r="I87" s="34">
        <v>2</v>
      </c>
      <c r="J87" s="17">
        <v>3.1</v>
      </c>
    </row>
    <row r="88" spans="1:10" x14ac:dyDescent="0.25">
      <c r="A88" s="20">
        <v>2021</v>
      </c>
      <c r="B88" s="17">
        <v>34.299999999999997</v>
      </c>
      <c r="C88" s="17">
        <v>2.5</v>
      </c>
      <c r="D88" s="17">
        <v>2.8</v>
      </c>
      <c r="E88" s="17"/>
      <c r="F88" s="17">
        <v>0.2</v>
      </c>
      <c r="G88" s="17">
        <v>4.4000000000000004</v>
      </c>
      <c r="H88" s="17">
        <v>1.4</v>
      </c>
      <c r="I88" s="17"/>
      <c r="J88" s="17">
        <v>3.8</v>
      </c>
    </row>
    <row r="89" spans="1:10" x14ac:dyDescent="0.25">
      <c r="A89" s="43">
        <v>2022</v>
      </c>
      <c r="B89" s="17">
        <v>32.5</v>
      </c>
      <c r="C89" s="17">
        <v>2.7</v>
      </c>
      <c r="D89" s="17">
        <v>2.9</v>
      </c>
      <c r="E89" s="17"/>
      <c r="F89" s="17">
        <v>0.2</v>
      </c>
      <c r="G89" s="17">
        <v>4.5999999999999996</v>
      </c>
      <c r="H89" s="17">
        <v>1.6</v>
      </c>
      <c r="I89" s="17"/>
      <c r="J89" s="17">
        <v>3.6</v>
      </c>
    </row>
    <row r="107" spans="1:20" s="3" customFormat="1" ht="5.25" customHeight="1" x14ac:dyDescent="0.25">
      <c r="T107" s="4"/>
    </row>
    <row r="109" spans="1:20" x14ac:dyDescent="0.25">
      <c r="A109" s="28"/>
      <c r="B109" s="28" t="s">
        <v>0</v>
      </c>
      <c r="C109" s="28" t="s">
        <v>2</v>
      </c>
      <c r="D109" s="28" t="s">
        <v>3</v>
      </c>
      <c r="E109" s="28" t="s">
        <v>4</v>
      </c>
      <c r="F109" s="28" t="s">
        <v>5</v>
      </c>
      <c r="G109" s="28" t="s">
        <v>1</v>
      </c>
      <c r="H109" s="28" t="s">
        <v>6</v>
      </c>
      <c r="I109" s="28" t="s">
        <v>7</v>
      </c>
      <c r="J109" s="9"/>
      <c r="K109" s="9"/>
    </row>
    <row r="110" spans="1:20" x14ac:dyDescent="0.25">
      <c r="A110" s="18">
        <v>2001</v>
      </c>
      <c r="B110" s="23">
        <v>116.35599999999999</v>
      </c>
      <c r="C110" s="23">
        <v>116.48</v>
      </c>
      <c r="D110" s="23">
        <v>122.11</v>
      </c>
      <c r="E110" s="23">
        <v>97.23</v>
      </c>
      <c r="F110" s="23">
        <v>99.22</v>
      </c>
      <c r="G110" s="23">
        <v>110.49299999999999</v>
      </c>
      <c r="H110" s="23">
        <v>112.371</v>
      </c>
      <c r="I110" s="23">
        <v>80.146000000000001</v>
      </c>
      <c r="J110" s="6"/>
      <c r="K110" s="6"/>
    </row>
    <row r="111" spans="1:20" hidden="1" outlineLevel="1" x14ac:dyDescent="0.25">
      <c r="A111" s="18">
        <v>2002</v>
      </c>
      <c r="B111" s="23">
        <v>128.672</v>
      </c>
      <c r="C111" s="23">
        <v>134.99</v>
      </c>
      <c r="D111" s="23">
        <v>146.11000000000001</v>
      </c>
      <c r="E111" s="23">
        <v>114.45399999999999</v>
      </c>
      <c r="F111" s="23">
        <v>59.2</v>
      </c>
      <c r="G111" s="23">
        <v>110.051</v>
      </c>
      <c r="H111" s="23">
        <v>117.16500000000001</v>
      </c>
      <c r="I111" s="23">
        <v>100.971</v>
      </c>
      <c r="J111" s="6"/>
      <c r="K111" s="6"/>
    </row>
    <row r="112" spans="1:20" hidden="1" outlineLevel="1" x14ac:dyDescent="0.25">
      <c r="A112" s="18" t="s">
        <v>8</v>
      </c>
      <c r="B112" s="23">
        <v>146.68</v>
      </c>
      <c r="C112" s="23">
        <v>147.37</v>
      </c>
      <c r="D112" s="23">
        <v>158.4</v>
      </c>
      <c r="E112" s="23">
        <v>115.79</v>
      </c>
      <c r="F112" s="23">
        <v>72.8</v>
      </c>
      <c r="G112" s="23">
        <f>[2]rūpn_dinam_latv!G6</f>
        <v>145.20429799999999</v>
      </c>
      <c r="H112" s="23">
        <v>172.34399999999999</v>
      </c>
      <c r="I112" s="23">
        <v>91.126999999999995</v>
      </c>
      <c r="J112" s="6"/>
      <c r="K112" s="6"/>
    </row>
    <row r="113" spans="1:11" hidden="1" outlineLevel="1" x14ac:dyDescent="0.25">
      <c r="A113" s="18" t="s">
        <v>9</v>
      </c>
      <c r="B113" s="23">
        <v>178.6</v>
      </c>
      <c r="C113" s="23">
        <v>169.8</v>
      </c>
      <c r="D113" s="23">
        <v>193.52</v>
      </c>
      <c r="E113" s="23">
        <v>137.13</v>
      </c>
      <c r="F113" s="23">
        <v>83.34</v>
      </c>
      <c r="G113" s="23">
        <v>218.35599999999999</v>
      </c>
      <c r="H113" s="23">
        <v>202.42699999999999</v>
      </c>
      <c r="I113" s="23">
        <v>172.244</v>
      </c>
      <c r="J113" s="6"/>
      <c r="K113" s="6"/>
    </row>
    <row r="114" spans="1:11" collapsed="1" x14ac:dyDescent="0.25">
      <c r="A114" s="29" t="s">
        <v>10</v>
      </c>
      <c r="B114" s="23">
        <v>211.91</v>
      </c>
      <c r="C114" s="23">
        <v>204.65</v>
      </c>
      <c r="D114" s="23">
        <v>248.06</v>
      </c>
      <c r="E114" s="23">
        <v>146.93</v>
      </c>
      <c r="F114" s="23">
        <v>72.17</v>
      </c>
      <c r="G114" s="23">
        <v>232.154</v>
      </c>
      <c r="H114" s="23">
        <v>222.47800000000001</v>
      </c>
      <c r="I114" s="23">
        <v>223.148</v>
      </c>
      <c r="J114" s="6"/>
      <c r="K114" s="6"/>
    </row>
    <row r="115" spans="1:11" hidden="1" outlineLevel="1" x14ac:dyDescent="0.25">
      <c r="A115" s="30">
        <v>2006</v>
      </c>
      <c r="B115" s="23">
        <v>248.88</v>
      </c>
      <c r="C115" s="23">
        <v>233.21</v>
      </c>
      <c r="D115" s="23">
        <v>257.75</v>
      </c>
      <c r="E115" s="23">
        <v>160.47</v>
      </c>
      <c r="F115" s="23">
        <v>43.03</v>
      </c>
      <c r="G115" s="23">
        <v>286.77</v>
      </c>
      <c r="H115" s="23">
        <v>252.124</v>
      </c>
      <c r="I115" s="23">
        <v>638.17100000000005</v>
      </c>
      <c r="J115" s="6"/>
      <c r="K115" s="6"/>
    </row>
    <row r="116" spans="1:11" hidden="1" outlineLevel="1" x14ac:dyDescent="0.25">
      <c r="A116" s="30">
        <v>2007</v>
      </c>
      <c r="B116" s="23">
        <v>292.68</v>
      </c>
      <c r="C116" s="23">
        <v>268.55</v>
      </c>
      <c r="D116" s="23">
        <v>285.98</v>
      </c>
      <c r="E116" s="23">
        <v>154.99</v>
      </c>
      <c r="F116" s="23">
        <v>45.84</v>
      </c>
      <c r="G116" s="23">
        <v>337.57900000000001</v>
      </c>
      <c r="H116" s="23">
        <v>294.16800000000001</v>
      </c>
      <c r="I116" s="23">
        <v>687.49699999999996</v>
      </c>
      <c r="J116" s="6"/>
      <c r="K116" s="6"/>
    </row>
    <row r="117" spans="1:11" hidden="1" outlineLevel="1" x14ac:dyDescent="0.25">
      <c r="A117" s="30">
        <v>2008</v>
      </c>
      <c r="B117" s="23">
        <v>302.45999999999998</v>
      </c>
      <c r="C117" s="23">
        <v>274.32</v>
      </c>
      <c r="D117" s="23">
        <v>321.33</v>
      </c>
      <c r="E117" s="23">
        <v>151.58000000000001</v>
      </c>
      <c r="F117" s="23">
        <v>56.17</v>
      </c>
      <c r="G117" s="23">
        <v>367.74</v>
      </c>
      <c r="H117" s="23">
        <v>267.48599999999999</v>
      </c>
      <c r="I117" s="23">
        <v>1262.2550000000001</v>
      </c>
      <c r="J117" s="6"/>
      <c r="K117" s="6"/>
    </row>
    <row r="118" spans="1:11" hidden="1" outlineLevel="1" x14ac:dyDescent="0.25">
      <c r="A118" s="20">
        <v>2009</v>
      </c>
      <c r="B118" s="23">
        <v>221.29</v>
      </c>
      <c r="C118" s="23">
        <v>191.68</v>
      </c>
      <c r="D118" s="23">
        <v>214.57</v>
      </c>
      <c r="E118" s="23">
        <v>110.31</v>
      </c>
      <c r="F118" s="23">
        <v>49.29</v>
      </c>
      <c r="G118" s="23">
        <v>221.071</v>
      </c>
      <c r="H118" s="23">
        <v>161.154</v>
      </c>
      <c r="I118" s="23">
        <v>1245.922</v>
      </c>
      <c r="J118" s="6"/>
      <c r="K118" s="6"/>
    </row>
    <row r="119" spans="1:11" collapsed="1" x14ac:dyDescent="0.25">
      <c r="A119" s="20">
        <v>2010</v>
      </c>
      <c r="B119" s="31">
        <v>262.00900000000001</v>
      </c>
      <c r="C119" s="31">
        <v>228.07499999999999</v>
      </c>
      <c r="D119" s="31">
        <v>238.321</v>
      </c>
      <c r="E119" s="31">
        <v>130.809</v>
      </c>
      <c r="F119" s="31">
        <v>55.987000000000002</v>
      </c>
      <c r="G119" s="23">
        <v>297.22199999999998</v>
      </c>
      <c r="H119" s="23">
        <v>177.376</v>
      </c>
      <c r="I119" s="23">
        <v>1169.549</v>
      </c>
    </row>
    <row r="120" spans="1:11" hidden="1" outlineLevel="1" x14ac:dyDescent="0.25">
      <c r="A120" s="20">
        <v>2011</v>
      </c>
      <c r="B120" s="31">
        <v>305.19941399999999</v>
      </c>
      <c r="C120" s="31">
        <v>263.03146600000002</v>
      </c>
      <c r="D120" s="31">
        <v>289.99709000000001</v>
      </c>
      <c r="E120" s="31">
        <v>172.30826999999999</v>
      </c>
      <c r="F120" s="31">
        <v>52.142052999999997</v>
      </c>
      <c r="G120" s="31">
        <v>307.16888</v>
      </c>
      <c r="H120" s="31">
        <v>234.41674</v>
      </c>
      <c r="I120" s="31">
        <v>1750.0989</v>
      </c>
    </row>
    <row r="121" spans="1:11" hidden="1" outlineLevel="1" x14ac:dyDescent="0.25">
      <c r="A121" s="20">
        <v>2012</v>
      </c>
      <c r="B121" s="31">
        <v>341.5</v>
      </c>
      <c r="C121" s="31">
        <v>287.2</v>
      </c>
      <c r="D121" s="31">
        <v>318.10000000000002</v>
      </c>
      <c r="E121" s="31">
        <v>207.7</v>
      </c>
      <c r="F121" s="31">
        <v>52.8</v>
      </c>
      <c r="G121" s="31">
        <v>397.4</v>
      </c>
      <c r="H121" s="31">
        <v>230.6</v>
      </c>
      <c r="I121" s="31">
        <v>2272.6999999999998</v>
      </c>
    </row>
    <row r="122" spans="1:11" hidden="1" outlineLevel="1" x14ac:dyDescent="0.25">
      <c r="A122" s="20">
        <v>2013</v>
      </c>
      <c r="B122" s="31">
        <v>337.7</v>
      </c>
      <c r="C122" s="31">
        <v>301.5</v>
      </c>
      <c r="D122" s="31">
        <v>306.89999999999998</v>
      </c>
      <c r="E122" s="31">
        <v>237.8</v>
      </c>
      <c r="F122" s="31">
        <v>61.8</v>
      </c>
      <c r="G122" s="31">
        <v>186.3</v>
      </c>
      <c r="H122" s="31">
        <v>204.74</v>
      </c>
      <c r="I122" s="31">
        <v>1866.4</v>
      </c>
      <c r="J122" s="32"/>
    </row>
    <row r="123" spans="1:11" hidden="1" outlineLevel="1" x14ac:dyDescent="0.25">
      <c r="A123" s="20">
        <v>2014</v>
      </c>
      <c r="B123" s="31">
        <v>335.9</v>
      </c>
      <c r="C123" s="31">
        <v>278.2</v>
      </c>
      <c r="D123" s="31">
        <v>305.3</v>
      </c>
      <c r="E123" s="31">
        <v>223.6</v>
      </c>
      <c r="F123" s="31">
        <v>63.2</v>
      </c>
      <c r="G123" s="31">
        <v>134.80000000000001</v>
      </c>
      <c r="H123" s="31">
        <v>240.8</v>
      </c>
      <c r="I123" s="31">
        <v>2139.6</v>
      </c>
      <c r="J123" s="32"/>
    </row>
    <row r="124" spans="1:11" collapsed="1" x14ac:dyDescent="0.25">
      <c r="A124" s="20">
        <v>2015</v>
      </c>
      <c r="B124" s="26">
        <v>336</v>
      </c>
      <c r="C124" s="26">
        <v>275</v>
      </c>
      <c r="D124" s="31">
        <v>293.39999999999998</v>
      </c>
      <c r="E124" s="26">
        <v>230</v>
      </c>
      <c r="F124" s="26"/>
      <c r="G124" s="26">
        <v>167</v>
      </c>
      <c r="H124" s="31">
        <v>266.60000000000002</v>
      </c>
      <c r="I124" s="31">
        <v>2009.7</v>
      </c>
    </row>
    <row r="125" spans="1:11" hidden="1" outlineLevel="1" x14ac:dyDescent="0.25">
      <c r="A125" s="20">
        <v>2016</v>
      </c>
      <c r="B125" s="31">
        <v>343.7</v>
      </c>
      <c r="C125" s="31">
        <v>281.89999999999998</v>
      </c>
      <c r="D125" s="31">
        <v>290.89999999999998</v>
      </c>
      <c r="E125" s="31">
        <v>243.9</v>
      </c>
      <c r="F125" s="31"/>
      <c r="G125" s="31">
        <v>142.5</v>
      </c>
      <c r="H125" s="31">
        <v>247.4</v>
      </c>
      <c r="I125" s="31">
        <v>1805.4</v>
      </c>
    </row>
    <row r="126" spans="1:11" hidden="1" outlineLevel="1" x14ac:dyDescent="0.25">
      <c r="A126" s="20">
        <v>2017</v>
      </c>
      <c r="B126" s="31">
        <v>384.4</v>
      </c>
      <c r="C126" s="31">
        <v>303</v>
      </c>
      <c r="D126" s="31">
        <v>342.8</v>
      </c>
      <c r="E126" s="31">
        <v>316.89999999999998</v>
      </c>
      <c r="F126" s="31"/>
      <c r="G126" s="31">
        <v>177.2</v>
      </c>
      <c r="H126" s="31">
        <v>309.5</v>
      </c>
      <c r="I126" s="31">
        <v>2484.6</v>
      </c>
    </row>
    <row r="127" spans="1:11" hidden="1" outlineLevel="1" x14ac:dyDescent="0.25">
      <c r="A127" s="20">
        <v>2018</v>
      </c>
      <c r="B127" s="31">
        <v>414.8</v>
      </c>
      <c r="C127" s="31">
        <v>313.7</v>
      </c>
      <c r="D127" s="31">
        <v>376.8</v>
      </c>
      <c r="E127" s="31">
        <v>361.5</v>
      </c>
      <c r="F127" s="31"/>
      <c r="G127" s="31">
        <v>184.6</v>
      </c>
      <c r="H127" s="31">
        <v>354.5</v>
      </c>
      <c r="I127" s="31">
        <v>3627.3</v>
      </c>
    </row>
    <row r="128" spans="1:11" hidden="1" outlineLevel="1" x14ac:dyDescent="0.25">
      <c r="A128" s="20">
        <v>2019</v>
      </c>
      <c r="B128" s="31">
        <v>430</v>
      </c>
      <c r="C128" s="31">
        <v>317.3</v>
      </c>
      <c r="D128" s="31">
        <v>412.7</v>
      </c>
      <c r="E128" s="31">
        <v>394.2</v>
      </c>
      <c r="F128" s="31"/>
      <c r="G128" s="31">
        <v>203.6</v>
      </c>
      <c r="H128" s="31">
        <v>401.9</v>
      </c>
      <c r="I128" s="31">
        <v>3479.4</v>
      </c>
    </row>
    <row r="129" spans="1:10" collapsed="1" x14ac:dyDescent="0.25">
      <c r="A129" s="20">
        <v>2020</v>
      </c>
      <c r="B129" s="31">
        <v>435.9</v>
      </c>
      <c r="C129" s="31">
        <v>325.8</v>
      </c>
      <c r="D129" s="31">
        <v>416.2</v>
      </c>
      <c r="E129" s="31">
        <v>387.8</v>
      </c>
      <c r="F129" s="31"/>
      <c r="G129" s="31">
        <v>221.1</v>
      </c>
      <c r="H129" s="31">
        <v>432.7</v>
      </c>
      <c r="I129" s="31">
        <v>3436.5</v>
      </c>
    </row>
    <row r="130" spans="1:10" x14ac:dyDescent="0.25">
      <c r="A130" s="20">
        <v>2021</v>
      </c>
      <c r="B130" s="31">
        <v>528.1</v>
      </c>
      <c r="C130" s="31">
        <v>382</v>
      </c>
      <c r="D130" s="31">
        <v>451.6</v>
      </c>
      <c r="E130" s="31">
        <v>462.6</v>
      </c>
      <c r="F130" s="31"/>
      <c r="G130" s="31">
        <v>268.8</v>
      </c>
      <c r="H130" s="31">
        <v>531.9</v>
      </c>
      <c r="I130" s="31">
        <v>5089.2</v>
      </c>
      <c r="J130" s="32"/>
    </row>
    <row r="131" spans="1:10" x14ac:dyDescent="0.25">
      <c r="A131" s="20">
        <v>2022</v>
      </c>
      <c r="B131" s="26">
        <v>627</v>
      </c>
      <c r="C131" s="26">
        <v>429</v>
      </c>
      <c r="D131" s="26">
        <v>574</v>
      </c>
      <c r="E131" s="26">
        <v>568</v>
      </c>
      <c r="F131" s="26"/>
      <c r="G131" s="26">
        <v>334</v>
      </c>
      <c r="H131" s="26">
        <v>753</v>
      </c>
      <c r="I131" s="26">
        <v>5690</v>
      </c>
    </row>
    <row r="149" spans="1:20" s="3" customFormat="1" ht="5.25" customHeight="1" x14ac:dyDescent="0.25">
      <c r="T149" s="4"/>
    </row>
    <row r="151" spans="1:20" x14ac:dyDescent="0.25">
      <c r="A151" s="28"/>
      <c r="B151" s="28" t="s">
        <v>0</v>
      </c>
      <c r="C151" s="28" t="s">
        <v>2</v>
      </c>
      <c r="D151" s="28" t="s">
        <v>3</v>
      </c>
      <c r="E151" s="28" t="s">
        <v>4</v>
      </c>
      <c r="F151" s="17" t="s">
        <v>11</v>
      </c>
      <c r="G151" s="35" t="s">
        <v>5</v>
      </c>
      <c r="H151" s="28" t="s">
        <v>1</v>
      </c>
      <c r="I151" s="28" t="s">
        <v>6</v>
      </c>
      <c r="J151" s="17" t="s">
        <v>12</v>
      </c>
      <c r="K151" s="28" t="s">
        <v>7</v>
      </c>
    </row>
    <row r="152" spans="1:20" x14ac:dyDescent="0.25">
      <c r="A152" s="18">
        <v>2000</v>
      </c>
      <c r="B152" s="48">
        <f>525/0.702804</f>
        <v>747.00770058223918</v>
      </c>
      <c r="C152" s="48">
        <f>776/0.702804</f>
        <v>1104.1485250510812</v>
      </c>
      <c r="D152" s="48">
        <f>306/0.702804</f>
        <v>435.39877405364797</v>
      </c>
      <c r="E152" s="48">
        <f>318/0.702804</f>
        <v>452.47323578124201</v>
      </c>
      <c r="F152" s="49"/>
      <c r="G152" s="50">
        <f>312/0.702804</f>
        <v>443.93600491744496</v>
      </c>
      <c r="H152" s="48">
        <f>1206/0.702804</f>
        <v>1715.9834036232007</v>
      </c>
      <c r="I152" s="48">
        <f>432/0.702804</f>
        <v>614.68062219338537</v>
      </c>
      <c r="J152" s="49"/>
      <c r="K152" s="48">
        <f>112/0.702804</f>
        <v>159.36164279087768</v>
      </c>
    </row>
    <row r="153" spans="1:20" hidden="1" outlineLevel="1" x14ac:dyDescent="0.25">
      <c r="A153" s="18">
        <v>2001</v>
      </c>
      <c r="B153" s="48">
        <f>615.6243/0.702804</f>
        <v>875.95446241057243</v>
      </c>
      <c r="C153" s="48">
        <f>917.3148/0.7028074</f>
        <v>1305.2150560736839</v>
      </c>
      <c r="D153" s="48">
        <f>388.7046/0.702804</f>
        <v>553.0768180033125</v>
      </c>
      <c r="E153" s="48">
        <f>578.5384/0.702804</f>
        <v>823.18598072862426</v>
      </c>
      <c r="F153" s="49"/>
      <c r="G153" s="50">
        <f>312.2687/0.702804</f>
        <v>444.31833057296205</v>
      </c>
      <c r="H153" s="48">
        <f>1357.5567/0.702804</f>
        <v>1931.6291597657385</v>
      </c>
      <c r="I153" s="48">
        <f>492.9679/0.702804</f>
        <v>701.43012845686701</v>
      </c>
      <c r="J153" s="49"/>
      <c r="K153" s="48">
        <f>89.2942/0.702804</f>
        <v>127.05420003301063</v>
      </c>
    </row>
    <row r="154" spans="1:20" hidden="1" outlineLevel="1" x14ac:dyDescent="0.25">
      <c r="A154" s="18">
        <v>2002</v>
      </c>
      <c r="B154" s="48">
        <f>677.2355/0.702804</f>
        <v>963.61930210983439</v>
      </c>
      <c r="C154" s="48">
        <f>1075.6555/0.702804</f>
        <v>1530.5198889021692</v>
      </c>
      <c r="D154" s="48">
        <f>468.38/0.702804</f>
        <v>666.44469866420798</v>
      </c>
      <c r="E154" s="48">
        <f>685.5755/0.702804</f>
        <v>975.48605301051225</v>
      </c>
      <c r="F154" s="49"/>
      <c r="G154" s="50">
        <f>186.8863/0.702804</f>
        <v>265.91524806347149</v>
      </c>
      <c r="H154" s="48">
        <f>1360.2138/0.702804</f>
        <v>1935.409872453771</v>
      </c>
      <c r="I154" s="48">
        <f>517.7701/0.702804</f>
        <v>736.72047967854473</v>
      </c>
      <c r="J154" s="49"/>
      <c r="K154" s="48">
        <f>112.4813/0.702804</f>
        <v>160.04647099333528</v>
      </c>
    </row>
    <row r="155" spans="1:20" hidden="1" outlineLevel="1" x14ac:dyDescent="0.25">
      <c r="A155" s="18">
        <v>2003</v>
      </c>
      <c r="B155" s="48">
        <f>784.9325/0.702804</f>
        <v>1116.858327499559</v>
      </c>
      <c r="C155" s="48">
        <f>1180.6772/0.7028074</f>
        <v>1679.9441781631783</v>
      </c>
      <c r="D155" s="48">
        <f>514.07/0.702804</f>
        <v>731.45571169202231</v>
      </c>
      <c r="E155" s="48">
        <f>725.1286/0.702804</f>
        <v>1031.7650440236539</v>
      </c>
      <c r="F155" s="49"/>
      <c r="G155" s="50">
        <f>228.6175/0.702804</f>
        <v>325.29339616735251</v>
      </c>
      <c r="H155" s="48">
        <f>1805.2627/0.702804</f>
        <v>2568.6574066169233</v>
      </c>
      <c r="I155" s="48">
        <f>772.9468/0.702804</f>
        <v>1099.804212838857</v>
      </c>
      <c r="J155" s="49"/>
      <c r="K155" s="48">
        <f>101.2395/0.702804</f>
        <v>144.05083067256305</v>
      </c>
    </row>
    <row r="156" spans="1:20" hidden="1" outlineLevel="1" x14ac:dyDescent="0.25">
      <c r="A156" s="17" t="s">
        <v>9</v>
      </c>
      <c r="B156" s="48">
        <f>961.0459/0.702804</f>
        <v>1367.4451198342638</v>
      </c>
      <c r="C156" s="48">
        <f>1366.8786/0.702804</f>
        <v>1944.8930284972766</v>
      </c>
      <c r="D156" s="48">
        <f>632.9021/0.702804</f>
        <v>900.53855698032453</v>
      </c>
      <c r="E156" s="48">
        <f>813.3649/0.702804</f>
        <v>1157.313987968196</v>
      </c>
      <c r="F156" s="49"/>
      <c r="G156" s="50">
        <f>260.9859/0.702804</f>
        <v>371.34948008264041</v>
      </c>
      <c r="H156" s="48">
        <f>2721.3983/0.702804</f>
        <v>3872.2009265741231</v>
      </c>
      <c r="I156" s="48">
        <f>918.3543/0.702804</f>
        <v>1306.7004456434511</v>
      </c>
      <c r="J156" s="49"/>
      <c r="K156" s="48">
        <f>191.8486/0.7002804</f>
        <v>273.95968814777621</v>
      </c>
    </row>
    <row r="157" spans="1:20" collapsed="1" x14ac:dyDescent="0.25">
      <c r="A157" s="17" t="s">
        <v>10</v>
      </c>
      <c r="B157" s="48">
        <v>1680</v>
      </c>
      <c r="C157" s="48">
        <v>2427</v>
      </c>
      <c r="D157" s="48">
        <v>1209</v>
      </c>
      <c r="E157" s="48">
        <v>1294</v>
      </c>
      <c r="F157" s="49"/>
      <c r="G157" s="50">
        <v>337</v>
      </c>
      <c r="H157" s="48">
        <v>4277</v>
      </c>
      <c r="I157" s="48">
        <v>1469</v>
      </c>
      <c r="J157" s="49"/>
      <c r="K157" s="48">
        <v>368</v>
      </c>
    </row>
    <row r="158" spans="1:20" hidden="1" outlineLevel="1" x14ac:dyDescent="0.25">
      <c r="A158" s="20">
        <v>2006</v>
      </c>
      <c r="B158" s="48">
        <v>1990</v>
      </c>
      <c r="C158" s="48">
        <v>2782</v>
      </c>
      <c r="D158" s="48">
        <v>1282</v>
      </c>
      <c r="E158" s="48">
        <v>1417</v>
      </c>
      <c r="F158" s="49"/>
      <c r="G158" s="50">
        <v>202</v>
      </c>
      <c r="H158" s="48">
        <v>5323</v>
      </c>
      <c r="I158" s="48">
        <v>1684</v>
      </c>
      <c r="J158" s="49"/>
      <c r="K158" s="48">
        <v>1064</v>
      </c>
    </row>
    <row r="159" spans="1:20" hidden="1" outlineLevel="1" x14ac:dyDescent="0.25">
      <c r="A159" s="20">
        <v>2007</v>
      </c>
      <c r="B159" s="48">
        <v>2358</v>
      </c>
      <c r="C159" s="48">
        <v>3228</v>
      </c>
      <c r="D159" s="48">
        <v>1444</v>
      </c>
      <c r="E159" s="48">
        <v>1377</v>
      </c>
      <c r="F159" s="49"/>
      <c r="G159" s="50">
        <v>215</v>
      </c>
      <c r="H159" s="48">
        <v>6317</v>
      </c>
      <c r="I159" s="48">
        <v>1989</v>
      </c>
      <c r="J159" s="49"/>
      <c r="K159" s="48">
        <v>1161</v>
      </c>
    </row>
    <row r="160" spans="1:20" hidden="1" outlineLevel="1" x14ac:dyDescent="0.25">
      <c r="A160" s="24">
        <v>2008</v>
      </c>
      <c r="B160" s="48">
        <v>2470</v>
      </c>
      <c r="C160" s="48">
        <v>3345</v>
      </c>
      <c r="D160" s="48">
        <v>1673</v>
      </c>
      <c r="E160" s="48">
        <v>1356</v>
      </c>
      <c r="F160" s="49"/>
      <c r="G160" s="50">
        <v>265</v>
      </c>
      <c r="H160" s="48">
        <v>6973</v>
      </c>
      <c r="I160" s="48">
        <v>1845</v>
      </c>
      <c r="J160" s="49"/>
      <c r="K160" s="48">
        <v>2165</v>
      </c>
    </row>
    <row r="161" spans="1:11" hidden="1" outlineLevel="1" x14ac:dyDescent="0.25">
      <c r="A161" s="20">
        <v>2009</v>
      </c>
      <c r="B161" s="48">
        <v>1842</v>
      </c>
      <c r="C161" s="48">
        <v>2386</v>
      </c>
      <c r="D161" s="48">
        <v>1149</v>
      </c>
      <c r="E161" s="48">
        <v>1011</v>
      </c>
      <c r="F161" s="49"/>
      <c r="G161" s="50">
        <v>236</v>
      </c>
      <c r="H161" s="48">
        <v>4286</v>
      </c>
      <c r="I161" s="48">
        <v>1144</v>
      </c>
      <c r="J161" s="49"/>
      <c r="K161" s="48">
        <v>2179</v>
      </c>
    </row>
    <row r="162" spans="1:11" collapsed="1" x14ac:dyDescent="0.25">
      <c r="A162" s="20">
        <v>2010</v>
      </c>
      <c r="B162" s="49">
        <v>2230</v>
      </c>
      <c r="C162" s="49">
        <v>2899</v>
      </c>
      <c r="D162" s="49">
        <v>1309</v>
      </c>
      <c r="E162" s="49">
        <v>1224</v>
      </c>
      <c r="F162" s="49"/>
      <c r="G162" s="51">
        <v>272</v>
      </c>
      <c r="H162" s="49">
        <v>5912</v>
      </c>
      <c r="I162" s="49">
        <v>1224</v>
      </c>
      <c r="J162" s="49"/>
      <c r="K162" s="49">
        <v>2101</v>
      </c>
    </row>
    <row r="163" spans="1:11" hidden="1" outlineLevel="1" x14ac:dyDescent="0.25">
      <c r="A163" s="20">
        <v>2011</v>
      </c>
      <c r="B163" s="49">
        <v>2636</v>
      </c>
      <c r="C163" s="49">
        <v>3392</v>
      </c>
      <c r="D163" s="49">
        <v>1639</v>
      </c>
      <c r="E163" s="49">
        <v>1649</v>
      </c>
      <c r="F163" s="49"/>
      <c r="G163" s="51">
        <v>257</v>
      </c>
      <c r="H163" s="49">
        <v>6281</v>
      </c>
      <c r="I163" s="49">
        <v>1775</v>
      </c>
      <c r="J163" s="49"/>
      <c r="K163" s="49">
        <v>3213</v>
      </c>
    </row>
    <row r="164" spans="1:11" hidden="1" outlineLevel="1" x14ac:dyDescent="0.25">
      <c r="A164" s="20">
        <v>2012</v>
      </c>
      <c r="B164" s="49">
        <v>2980</v>
      </c>
      <c r="C164" s="49">
        <v>3740</v>
      </c>
      <c r="D164" s="49">
        <v>1832</v>
      </c>
      <c r="E164" s="49">
        <v>2007</v>
      </c>
      <c r="F164" s="49"/>
      <c r="G164" s="51">
        <v>259</v>
      </c>
      <c r="H164" s="49">
        <v>8274</v>
      </c>
      <c r="I164" s="49">
        <v>1781</v>
      </c>
      <c r="J164" s="49"/>
      <c r="K164" s="49">
        <v>4246</v>
      </c>
    </row>
    <row r="165" spans="1:11" hidden="1" outlineLevel="1" x14ac:dyDescent="0.25">
      <c r="A165" s="20">
        <v>2013</v>
      </c>
      <c r="B165" s="49">
        <v>2979</v>
      </c>
      <c r="C165" s="49">
        <v>3928</v>
      </c>
      <c r="D165" s="49">
        <v>1804</v>
      </c>
      <c r="E165" s="49">
        <v>2315</v>
      </c>
      <c r="F165" s="49">
        <v>3520</v>
      </c>
      <c r="G165" s="51">
        <v>308</v>
      </c>
      <c r="H165" s="49">
        <v>3963</v>
      </c>
      <c r="I165" s="49">
        <v>1621</v>
      </c>
      <c r="J165" s="49">
        <v>6502</v>
      </c>
      <c r="K165" s="49">
        <v>3550</v>
      </c>
    </row>
    <row r="166" spans="1:11" hidden="1" outlineLevel="1" x14ac:dyDescent="0.25">
      <c r="A166" s="20">
        <v>2014</v>
      </c>
      <c r="B166" s="49">
        <v>2987</v>
      </c>
      <c r="C166" s="49">
        <v>3638</v>
      </c>
      <c r="D166" s="49">
        <v>1814</v>
      </c>
      <c r="E166" s="49">
        <v>2183</v>
      </c>
      <c r="F166" s="49">
        <v>3561</v>
      </c>
      <c r="G166" s="51">
        <v>316</v>
      </c>
      <c r="H166" s="49">
        <v>2899</v>
      </c>
      <c r="I166" s="49">
        <v>1951</v>
      </c>
      <c r="J166" s="49">
        <v>7265</v>
      </c>
      <c r="K166" s="49">
        <v>4115</v>
      </c>
    </row>
    <row r="167" spans="1:11" collapsed="1" x14ac:dyDescent="0.25">
      <c r="A167" s="20">
        <v>2015</v>
      </c>
      <c r="B167" s="49">
        <f>[3]Eiro!$CI$2867</f>
        <v>3013.4037462473789</v>
      </c>
      <c r="C167" s="49">
        <f>[3]Eiro!$CI$2868</f>
        <v>3610.4015950407138</v>
      </c>
      <c r="D167" s="49">
        <f>[3]Eiro!$CI$2869</f>
        <v>1767.2032924512816</v>
      </c>
      <c r="E167" s="49">
        <f>[3]Eiro!$CI$2870</f>
        <v>2250.8493294767291</v>
      </c>
      <c r="F167" s="49">
        <f>[3]Eiro!$CI$2871</f>
        <v>1640.1144366197184</v>
      </c>
      <c r="G167" s="49"/>
      <c r="H167" s="49">
        <f>[3]Eiro!$CI$2873</f>
        <v>3624.1665957386444</v>
      </c>
      <c r="I167" s="49">
        <f>[3]Eiro!$CI$2874</f>
        <v>1872.5343538006609</v>
      </c>
      <c r="J167" s="49">
        <f>[3]Eiro!$CI$2875</f>
        <v>6962.3719328454581</v>
      </c>
      <c r="K167" s="49">
        <f>[3]Eiro!$CI$2874</f>
        <v>1872.5343538006609</v>
      </c>
    </row>
    <row r="168" spans="1:11" x14ac:dyDescent="0.25">
      <c r="A168" s="20">
        <v>2016</v>
      </c>
      <c r="B168" s="49">
        <v>3113</v>
      </c>
      <c r="C168" s="49">
        <v>3683</v>
      </c>
      <c r="D168" s="51">
        <v>1766</v>
      </c>
      <c r="E168" s="49">
        <v>2399</v>
      </c>
      <c r="F168" s="49">
        <v>1879</v>
      </c>
      <c r="G168" s="49"/>
      <c r="H168" s="49">
        <v>3139</v>
      </c>
      <c r="I168" s="49">
        <v>2086</v>
      </c>
      <c r="J168" s="49">
        <v>7409</v>
      </c>
      <c r="K168" s="51">
        <v>3562</v>
      </c>
    </row>
    <row r="169" spans="1:11" x14ac:dyDescent="0.25">
      <c r="A169" s="42">
        <v>2017</v>
      </c>
      <c r="B169" s="49">
        <v>3509</v>
      </c>
      <c r="C169" s="49">
        <v>3981</v>
      </c>
      <c r="D169" s="49">
        <v>2115</v>
      </c>
      <c r="E169" s="49">
        <v>3137</v>
      </c>
      <c r="F169" s="49">
        <v>2151</v>
      </c>
      <c r="G169" s="49"/>
      <c r="H169" s="49">
        <v>3918</v>
      </c>
      <c r="I169" s="49">
        <v>2611</v>
      </c>
      <c r="J169" s="49">
        <v>7796</v>
      </c>
      <c r="K169" s="51">
        <v>4973</v>
      </c>
    </row>
    <row r="170" spans="1:11" x14ac:dyDescent="0.25">
      <c r="A170" s="42">
        <v>2018</v>
      </c>
      <c r="B170" s="49">
        <v>3816</v>
      </c>
      <c r="C170" s="49">
        <v>4156</v>
      </c>
      <c r="D170" s="49">
        <v>2343</v>
      </c>
      <c r="E170" s="49">
        <v>3605</v>
      </c>
      <c r="F170" s="49">
        <v>2522</v>
      </c>
      <c r="G170" s="49"/>
      <c r="H170" s="49">
        <v>4095</v>
      </c>
      <c r="I170" s="49">
        <v>3026</v>
      </c>
      <c r="J170" s="49">
        <v>7581</v>
      </c>
      <c r="K170" s="51">
        <v>7361</v>
      </c>
    </row>
    <row r="171" spans="1:11" x14ac:dyDescent="0.25">
      <c r="A171" s="20">
        <v>2019</v>
      </c>
      <c r="B171" s="49">
        <v>3980.751228589776</v>
      </c>
      <c r="C171" s="49">
        <v>4238.4108356029683</v>
      </c>
      <c r="D171" s="49">
        <v>2583.6018818711455</v>
      </c>
      <c r="E171" s="49">
        <v>3924.6976561663873</v>
      </c>
      <c r="F171" s="49">
        <v>2154.2639547610361</v>
      </c>
      <c r="G171" s="49"/>
      <c r="H171" s="49">
        <v>4545.0324651637848</v>
      </c>
      <c r="I171" s="49">
        <v>3457.5163872089238</v>
      </c>
      <c r="J171" s="49">
        <v>7145.9609544468549</v>
      </c>
      <c r="K171" s="49">
        <v>7158.6474370317937</v>
      </c>
    </row>
    <row r="172" spans="1:11" x14ac:dyDescent="0.25">
      <c r="A172" s="36">
        <v>2020</v>
      </c>
      <c r="B172" s="45">
        <v>4065.9500227918211</v>
      </c>
      <c r="C172" s="45">
        <v>4442.970105008314</v>
      </c>
      <c r="D172" s="45">
        <v>2651.4157788333932</v>
      </c>
      <c r="E172" s="45">
        <v>3911.6831718953304</v>
      </c>
      <c r="F172" s="45">
        <v>2223.1356049748024</v>
      </c>
      <c r="G172" s="45"/>
      <c r="H172" s="45">
        <v>4977.5116238008359</v>
      </c>
      <c r="I172" s="45">
        <v>3829.6918663139463</v>
      </c>
      <c r="J172" s="45">
        <v>6673.9454094292805</v>
      </c>
      <c r="K172" s="45">
        <v>7183.4352151504254</v>
      </c>
    </row>
    <row r="173" spans="1:11" x14ac:dyDescent="0.25">
      <c r="A173" s="36">
        <v>2021</v>
      </c>
      <c r="B173" s="45">
        <v>4972</v>
      </c>
      <c r="C173" s="45">
        <v>5285</v>
      </c>
      <c r="D173" s="45">
        <v>2932</v>
      </c>
      <c r="E173" s="45">
        <v>4721</v>
      </c>
      <c r="F173" s="45"/>
      <c r="G173" s="45">
        <v>301</v>
      </c>
      <c r="H173" s="45">
        <v>6105</v>
      </c>
      <c r="I173" s="45">
        <v>4772</v>
      </c>
      <c r="J173" s="45"/>
      <c r="K173" s="45">
        <v>10773</v>
      </c>
    </row>
    <row r="174" spans="1:11" x14ac:dyDescent="0.25">
      <c r="A174" s="36">
        <v>2022</v>
      </c>
      <c r="B174" s="45">
        <v>5881</v>
      </c>
      <c r="C174" s="45">
        <v>5899</v>
      </c>
      <c r="D174" s="45">
        <v>3741</v>
      </c>
      <c r="E174" s="45">
        <v>5777</v>
      </c>
      <c r="F174" s="45"/>
      <c r="G174" s="45">
        <v>327</v>
      </c>
      <c r="H174" s="45">
        <v>7615</v>
      </c>
      <c r="I174" s="45">
        <v>6780</v>
      </c>
      <c r="J174" s="45"/>
      <c r="K174" s="45">
        <v>12048</v>
      </c>
    </row>
    <row r="175" spans="1:11" x14ac:dyDescent="0.25">
      <c r="B175" s="45"/>
      <c r="C175" s="45"/>
      <c r="D175" s="45"/>
      <c r="E175" s="45"/>
      <c r="F175" s="45"/>
      <c r="G175" s="45"/>
      <c r="H175" s="45"/>
      <c r="I175" s="45"/>
      <c r="J175" s="45"/>
      <c r="K175" s="45"/>
    </row>
    <row r="180" ht="13.8" customHeight="1" x14ac:dyDescent="0.25"/>
    <row r="193" spans="1:20" s="3" customFormat="1" ht="5.25" customHeight="1" x14ac:dyDescent="0.25">
      <c r="T193" s="4"/>
    </row>
    <row r="195" spans="1:20" x14ac:dyDescent="0.25">
      <c r="A195" s="28"/>
      <c r="B195" s="28" t="s">
        <v>0</v>
      </c>
      <c r="C195" s="28" t="s">
        <v>2</v>
      </c>
      <c r="D195" s="28" t="s">
        <v>3</v>
      </c>
      <c r="E195" s="28" t="s">
        <v>4</v>
      </c>
      <c r="F195" s="17" t="s">
        <v>11</v>
      </c>
      <c r="G195" s="28" t="s">
        <v>5</v>
      </c>
      <c r="H195" s="28" t="s">
        <v>1</v>
      </c>
      <c r="I195" s="28" t="s">
        <v>6</v>
      </c>
      <c r="J195" s="17" t="s">
        <v>12</v>
      </c>
      <c r="K195" s="28" t="s">
        <v>7</v>
      </c>
    </row>
    <row r="196" spans="1:20" x14ac:dyDescent="0.25">
      <c r="A196" s="22">
        <v>2000</v>
      </c>
      <c r="B196" s="52">
        <f>250.234/0.702804</f>
        <v>356.05090466189722</v>
      </c>
      <c r="C196" s="52">
        <f>388.0761/0.702804</f>
        <v>552.18254307032976</v>
      </c>
      <c r="D196" s="52">
        <f>134.1539/0.702804</f>
        <v>190.88380259645646</v>
      </c>
      <c r="E196" s="52">
        <f>386.9106/0.702804</f>
        <v>550.52418597503708</v>
      </c>
      <c r="F196" s="53"/>
      <c r="G196" s="52">
        <f>92.3762/0.702804</f>
        <v>131.43949095338104</v>
      </c>
      <c r="H196" s="52">
        <f>222.2715/0.702804</f>
        <v>316.26385165707654</v>
      </c>
      <c r="I196" s="52">
        <f>187.3491/0.702804</f>
        <v>266.57375313743233</v>
      </c>
      <c r="J196" s="53"/>
      <c r="K196" s="52">
        <f>53.4186/0.702804</f>
        <v>76.007820103471232</v>
      </c>
      <c r="L196" s="46"/>
    </row>
    <row r="197" spans="1:20" hidden="1" outlineLevel="1" x14ac:dyDescent="0.25">
      <c r="A197" s="22">
        <v>2001</v>
      </c>
      <c r="B197" s="52">
        <f>289.4746/0.702804</f>
        <v>411.88524823421608</v>
      </c>
      <c r="C197" s="52">
        <f>445.2407/0.702804</f>
        <v>633.52044097643159</v>
      </c>
      <c r="D197" s="52">
        <f>177.0932/0.702804</f>
        <v>251.98092213476303</v>
      </c>
      <c r="E197" s="52">
        <f>421.529/0.702804</f>
        <v>599.78173146424888</v>
      </c>
      <c r="F197" s="53"/>
      <c r="G197" s="52">
        <f>115.4584/0.702804</f>
        <v>164.28250266077029</v>
      </c>
      <c r="H197" s="52">
        <f>262.895/0.702804</f>
        <v>374.0658846563195</v>
      </c>
      <c r="I197" s="52">
        <f>195.0066/0.702804</f>
        <v>277.4693940273533</v>
      </c>
      <c r="J197" s="53"/>
      <c r="K197" s="52">
        <f>39.8717/0.702804</f>
        <v>56.732317972009263</v>
      </c>
      <c r="L197" s="46"/>
    </row>
    <row r="198" spans="1:20" hidden="1" outlineLevel="1" x14ac:dyDescent="0.25">
      <c r="A198" s="22">
        <v>2002</v>
      </c>
      <c r="B198" s="52">
        <f>324.159/0.702804</f>
        <v>461.23670326292961</v>
      </c>
      <c r="C198" s="52">
        <f>506.4862/0.702804</f>
        <v>720.664936454545</v>
      </c>
      <c r="D198" s="52">
        <f>225.8958/0.702804</f>
        <v>321.42076596035309</v>
      </c>
      <c r="E198" s="52">
        <f>458.3408/0.702804</f>
        <v>652.16020398290277</v>
      </c>
      <c r="F198" s="53"/>
      <c r="G198" s="52">
        <f>107.3736/0.702804</f>
        <v>152.77886864616593</v>
      </c>
      <c r="H198" s="52">
        <f>271.4642/0.702804</f>
        <v>386.25875777599447</v>
      </c>
      <c r="I198" s="52">
        <f>206.6107/0.702804</f>
        <v>293.98054080511781</v>
      </c>
      <c r="J198" s="53"/>
      <c r="K198" s="52">
        <f>64.8342/0.702804</f>
        <v>92.250755544931437</v>
      </c>
      <c r="L198" s="46"/>
    </row>
    <row r="199" spans="1:20" hidden="1" outlineLevel="1" x14ac:dyDescent="0.25">
      <c r="A199" s="22">
        <v>2003</v>
      </c>
      <c r="B199" s="52">
        <f>370.5812/0.702804</f>
        <v>527.28954303048931</v>
      </c>
      <c r="C199" s="52">
        <f>561.144/0.702804</f>
        <v>798.43597930575243</v>
      </c>
      <c r="D199" s="52">
        <f>230.9207/0.702804</f>
        <v>328.57055452160205</v>
      </c>
      <c r="E199" s="52">
        <f>451.9925/0.702804</f>
        <v>643.12738686746241</v>
      </c>
      <c r="F199" s="53"/>
      <c r="G199" s="52">
        <f>135.497/0.702804</f>
        <v>192.79486172531747</v>
      </c>
      <c r="H199" s="52">
        <f>392.3058/0.702804</f>
        <v>558.20086396776344</v>
      </c>
      <c r="I199" s="52">
        <f>358.3781/0.702804</f>
        <v>509.92609603815578</v>
      </c>
      <c r="J199" s="53"/>
      <c r="K199" s="52">
        <f>451.9925/0.702804</f>
        <v>643.12738686746241</v>
      </c>
      <c r="L199" s="46"/>
    </row>
    <row r="200" spans="1:20" hidden="1" outlineLevel="1" x14ac:dyDescent="0.25">
      <c r="A200" s="22" t="s">
        <v>9</v>
      </c>
      <c r="B200" s="52">
        <f>450.2944/0.702804</f>
        <v>640.7112082458267</v>
      </c>
      <c r="C200" s="52">
        <f>647.3777/0.702804</f>
        <v>921.13548016232119</v>
      </c>
      <c r="D200" s="52">
        <f>306.0675/0.702804</f>
        <v>435.49481790086566</v>
      </c>
      <c r="E200" s="52">
        <f>492.127/0.702804</f>
        <v>700.23363555130595</v>
      </c>
      <c r="F200" s="53"/>
      <c r="G200" s="52">
        <f>186.8212/0.702804</f>
        <v>265.82261910859927</v>
      </c>
      <c r="H200" s="52">
        <f>561.6091/0.702804</f>
        <v>799.09775698487772</v>
      </c>
      <c r="I200" s="52">
        <f>412.0263/0.702804</f>
        <v>586.26060750934823</v>
      </c>
      <c r="J200" s="53"/>
      <c r="K200" s="52">
        <f>111.3659/0.702804</f>
        <v>158.4593997757554</v>
      </c>
      <c r="L200" s="46"/>
    </row>
    <row r="201" spans="1:20" collapsed="1" x14ac:dyDescent="0.25">
      <c r="A201" s="20" t="s">
        <v>10</v>
      </c>
      <c r="B201" s="52">
        <v>796</v>
      </c>
      <c r="C201" s="52">
        <v>1183</v>
      </c>
      <c r="D201" s="52">
        <v>505</v>
      </c>
      <c r="E201" s="52">
        <v>765</v>
      </c>
      <c r="F201" s="53"/>
      <c r="G201" s="52">
        <v>223</v>
      </c>
      <c r="H201" s="52">
        <v>841</v>
      </c>
      <c r="I201" s="52">
        <v>745</v>
      </c>
      <c r="J201" s="53"/>
      <c r="K201" s="52">
        <v>193</v>
      </c>
      <c r="L201" s="46"/>
    </row>
    <row r="202" spans="1:20" hidden="1" outlineLevel="1" x14ac:dyDescent="0.25">
      <c r="A202" s="20">
        <v>2006</v>
      </c>
      <c r="B202" s="52">
        <v>973</v>
      </c>
      <c r="C202" s="52">
        <v>1417</v>
      </c>
      <c r="D202" s="52">
        <v>628</v>
      </c>
      <c r="E202" s="52">
        <v>507</v>
      </c>
      <c r="F202" s="53"/>
      <c r="G202" s="52">
        <v>112</v>
      </c>
      <c r="H202" s="52">
        <v>1165</v>
      </c>
      <c r="I202" s="52">
        <v>877</v>
      </c>
      <c r="J202" s="53"/>
      <c r="K202" s="52">
        <v>374</v>
      </c>
      <c r="L202" s="46"/>
    </row>
    <row r="203" spans="1:20" hidden="1" outlineLevel="1" x14ac:dyDescent="0.25">
      <c r="A203" s="20">
        <v>2007</v>
      </c>
      <c r="B203" s="52">
        <v>1188</v>
      </c>
      <c r="C203" s="52">
        <v>1765</v>
      </c>
      <c r="D203" s="52">
        <v>756</v>
      </c>
      <c r="E203" s="52">
        <v>996</v>
      </c>
      <c r="F203" s="53"/>
      <c r="G203" s="52">
        <v>409</v>
      </c>
      <c r="H203" s="52">
        <v>1363</v>
      </c>
      <c r="I203" s="52">
        <v>1018</v>
      </c>
      <c r="J203" s="53"/>
      <c r="K203" s="52">
        <v>286</v>
      </c>
      <c r="L203" s="46"/>
    </row>
    <row r="204" spans="1:20" hidden="1" outlineLevel="1" x14ac:dyDescent="0.25">
      <c r="A204" s="24">
        <v>2008</v>
      </c>
      <c r="B204" s="52">
        <v>1214</v>
      </c>
      <c r="C204" s="52">
        <v>1794</v>
      </c>
      <c r="D204" s="52">
        <v>853</v>
      </c>
      <c r="E204" s="52">
        <v>785</v>
      </c>
      <c r="F204" s="53"/>
      <c r="G204" s="52">
        <v>145</v>
      </c>
      <c r="H204" s="52">
        <v>1282</v>
      </c>
      <c r="I204" s="52">
        <v>1066</v>
      </c>
      <c r="J204" s="53"/>
      <c r="K204" s="52">
        <v>286</v>
      </c>
      <c r="L204" s="46"/>
    </row>
    <row r="205" spans="1:20" hidden="1" outlineLevel="1" x14ac:dyDescent="0.25">
      <c r="A205" s="20">
        <v>2009</v>
      </c>
      <c r="B205" s="52">
        <v>855</v>
      </c>
      <c r="C205" s="52">
        <v>1220</v>
      </c>
      <c r="D205" s="52">
        <v>509</v>
      </c>
      <c r="E205" s="52">
        <v>470</v>
      </c>
      <c r="F205" s="53"/>
      <c r="G205" s="52">
        <v>127</v>
      </c>
      <c r="H205" s="52">
        <v>637</v>
      </c>
      <c r="I205" s="52">
        <v>953</v>
      </c>
      <c r="J205" s="53"/>
      <c r="K205" s="52">
        <v>455</v>
      </c>
      <c r="L205" s="46"/>
    </row>
    <row r="206" spans="1:20" collapsed="1" x14ac:dyDescent="0.25">
      <c r="A206" s="20">
        <v>2010</v>
      </c>
      <c r="B206" s="53">
        <v>902</v>
      </c>
      <c r="C206" s="53">
        <v>1266</v>
      </c>
      <c r="D206" s="53">
        <v>465</v>
      </c>
      <c r="E206" s="53">
        <v>484</v>
      </c>
      <c r="F206" s="53"/>
      <c r="G206" s="53"/>
      <c r="H206" s="53">
        <v>640</v>
      </c>
      <c r="I206" s="53"/>
      <c r="J206" s="53"/>
      <c r="K206" s="53">
        <v>508</v>
      </c>
      <c r="L206" s="46"/>
    </row>
    <row r="207" spans="1:20" hidden="1" outlineLevel="1" x14ac:dyDescent="0.25">
      <c r="A207" s="20">
        <v>2011</v>
      </c>
      <c r="B207" s="53">
        <v>1039</v>
      </c>
      <c r="C207" s="53">
        <v>1427</v>
      </c>
      <c r="D207" s="53">
        <v>542</v>
      </c>
      <c r="E207" s="53">
        <v>620</v>
      </c>
      <c r="F207" s="53"/>
      <c r="G207" s="53"/>
      <c r="H207" s="53">
        <v>803</v>
      </c>
      <c r="I207" s="53"/>
      <c r="J207" s="53"/>
      <c r="K207" s="53">
        <v>602</v>
      </c>
      <c r="L207" s="46"/>
    </row>
    <row r="208" spans="1:20" hidden="1" outlineLevel="1" x14ac:dyDescent="0.25">
      <c r="A208" s="20">
        <v>2012</v>
      </c>
      <c r="B208" s="53">
        <v>1108</v>
      </c>
      <c r="C208" s="53">
        <v>1491</v>
      </c>
      <c r="D208" s="53">
        <v>646</v>
      </c>
      <c r="E208" s="53">
        <v>659</v>
      </c>
      <c r="F208" s="53"/>
      <c r="G208" s="53"/>
      <c r="H208" s="53">
        <v>838</v>
      </c>
      <c r="I208" s="53"/>
      <c r="J208" s="53"/>
      <c r="K208" s="53">
        <v>673</v>
      </c>
      <c r="L208" s="46"/>
    </row>
    <row r="209" spans="1:12" hidden="1" outlineLevel="1" x14ac:dyDescent="0.25">
      <c r="A209" s="20">
        <v>2013</v>
      </c>
      <c r="B209" s="53">
        <v>1176</v>
      </c>
      <c r="C209" s="53">
        <v>1552</v>
      </c>
      <c r="D209" s="53">
        <v>719</v>
      </c>
      <c r="E209" s="53">
        <v>795</v>
      </c>
      <c r="F209" s="53">
        <v>1438</v>
      </c>
      <c r="G209" s="53"/>
      <c r="H209" s="53">
        <v>737</v>
      </c>
      <c r="I209" s="53"/>
      <c r="J209" s="53">
        <v>2232</v>
      </c>
      <c r="K209" s="53">
        <v>580</v>
      </c>
      <c r="L209" s="46"/>
    </row>
    <row r="210" spans="1:12" hidden="1" outlineLevel="1" x14ac:dyDescent="0.25">
      <c r="A210" s="20">
        <v>2014</v>
      </c>
      <c r="B210" s="53">
        <v>1170</v>
      </c>
      <c r="C210" s="53">
        <v>1424</v>
      </c>
      <c r="D210" s="53">
        <v>701</v>
      </c>
      <c r="E210" s="53">
        <v>781</v>
      </c>
      <c r="F210" s="53">
        <v>1559</v>
      </c>
      <c r="G210" s="53"/>
      <c r="H210" s="53">
        <v>766</v>
      </c>
      <c r="I210" s="53"/>
      <c r="J210" s="53">
        <v>2054</v>
      </c>
      <c r="K210" s="53">
        <v>545</v>
      </c>
      <c r="L210" s="46"/>
    </row>
    <row r="211" spans="1:12" collapsed="1" x14ac:dyDescent="0.25">
      <c r="A211" s="20">
        <v>2015</v>
      </c>
      <c r="B211" s="53">
        <v>1119.461</v>
      </c>
      <c r="C211" s="53">
        <v>1292.8</v>
      </c>
      <c r="D211" s="53">
        <v>731.68399999999997</v>
      </c>
      <c r="E211" s="53">
        <v>743.22400000000005</v>
      </c>
      <c r="F211" s="53">
        <v>1159.011</v>
      </c>
      <c r="G211" s="53"/>
      <c r="H211" s="53">
        <v>761.51300000000003</v>
      </c>
      <c r="I211" s="53"/>
      <c r="J211" s="53"/>
      <c r="K211" s="53">
        <v>522.64099999999996</v>
      </c>
      <c r="L211" s="46"/>
    </row>
    <row r="212" spans="1:12" x14ac:dyDescent="0.25">
      <c r="A212" s="20">
        <v>2016</v>
      </c>
      <c r="B212" s="53">
        <v>1134</v>
      </c>
      <c r="C212" s="53">
        <v>1269</v>
      </c>
      <c r="D212" s="53">
        <v>743</v>
      </c>
      <c r="E212" s="53">
        <v>749</v>
      </c>
      <c r="F212" s="53">
        <v>1310</v>
      </c>
      <c r="G212" s="53"/>
      <c r="H212" s="53">
        <v>781</v>
      </c>
      <c r="I212" s="53"/>
      <c r="J212" s="53">
        <v>1438</v>
      </c>
      <c r="K212" s="53">
        <v>410</v>
      </c>
      <c r="L212" s="46"/>
    </row>
    <row r="213" spans="1:12" x14ac:dyDescent="0.25">
      <c r="A213" s="20">
        <v>2017</v>
      </c>
      <c r="B213" s="53">
        <v>1125</v>
      </c>
      <c r="C213" s="53">
        <v>1324</v>
      </c>
      <c r="D213" s="53">
        <v>636</v>
      </c>
      <c r="E213" s="53">
        <v>891</v>
      </c>
      <c r="F213" s="53">
        <v>1550</v>
      </c>
      <c r="G213" s="53"/>
      <c r="H213" s="53">
        <v>972</v>
      </c>
      <c r="I213" s="53"/>
      <c r="J213" s="53">
        <v>1808</v>
      </c>
      <c r="K213" s="53">
        <v>673</v>
      </c>
      <c r="L213" s="46"/>
    </row>
    <row r="214" spans="1:12" x14ac:dyDescent="0.25">
      <c r="A214" s="20">
        <v>2018</v>
      </c>
      <c r="B214" s="53">
        <v>1343</v>
      </c>
      <c r="C214" s="53">
        <v>1378</v>
      </c>
      <c r="D214" s="53">
        <v>674</v>
      </c>
      <c r="E214" s="53">
        <v>1257</v>
      </c>
      <c r="F214" s="53">
        <v>1774</v>
      </c>
      <c r="G214" s="53"/>
      <c r="H214" s="53">
        <v>936</v>
      </c>
      <c r="I214" s="53"/>
      <c r="J214" s="53">
        <v>1455</v>
      </c>
      <c r="K214" s="53">
        <v>1001</v>
      </c>
      <c r="L214" s="46"/>
    </row>
    <row r="215" spans="1:12" x14ac:dyDescent="0.25">
      <c r="A215" s="20">
        <v>2019</v>
      </c>
      <c r="B215" s="53">
        <v>1409.552290301021</v>
      </c>
      <c r="C215" s="53">
        <v>1431.8452763164814</v>
      </c>
      <c r="D215" s="53">
        <v>798.23750944592052</v>
      </c>
      <c r="E215" s="53">
        <v>1519.4683671649245</v>
      </c>
      <c r="F215" s="53">
        <v>1620.2364784750091</v>
      </c>
      <c r="G215" s="53"/>
      <c r="H215" s="53">
        <v>1030.3160998030205</v>
      </c>
      <c r="I215" s="53"/>
      <c r="J215" s="53">
        <v>1293.7804381778742</v>
      </c>
      <c r="K215" s="53">
        <v>1067.7570017106116</v>
      </c>
      <c r="L215" s="46"/>
    </row>
    <row r="216" spans="1:12" x14ac:dyDescent="0.25">
      <c r="A216" s="36">
        <v>2020</v>
      </c>
      <c r="B216" s="46">
        <v>1408.3534062812464</v>
      </c>
      <c r="C216" s="46">
        <v>1391.5898750117958</v>
      </c>
      <c r="D216" s="46">
        <v>871.94175152244293</v>
      </c>
      <c r="E216" s="46">
        <v>1493.3200213242735</v>
      </c>
      <c r="F216" s="46">
        <v>1907.3281427712795</v>
      </c>
      <c r="G216" s="46"/>
      <c r="H216" s="46">
        <v>1216.9400697428048</v>
      </c>
      <c r="I216" s="46"/>
      <c r="J216" s="46">
        <v>1133.2079491532804</v>
      </c>
      <c r="K216" s="46">
        <v>1559.1763184705742</v>
      </c>
      <c r="L216" s="46"/>
    </row>
    <row r="217" spans="1:12" x14ac:dyDescent="0.25">
      <c r="A217" s="36">
        <v>2021</v>
      </c>
      <c r="B217" s="46">
        <v>1653</v>
      </c>
      <c r="C217" s="46">
        <v>1504</v>
      </c>
      <c r="D217" s="46">
        <v>892</v>
      </c>
      <c r="E217" s="46">
        <v>1685</v>
      </c>
      <c r="F217" s="46"/>
      <c r="G217" s="46"/>
      <c r="H217" s="46">
        <v>1407</v>
      </c>
      <c r="I217" s="46"/>
      <c r="J217" s="46"/>
      <c r="K217" s="46">
        <v>1780</v>
      </c>
      <c r="L217" s="46"/>
    </row>
    <row r="218" spans="1:12" x14ac:dyDescent="0.25">
      <c r="A218" s="36">
        <v>2022</v>
      </c>
      <c r="B218" s="46">
        <v>2007</v>
      </c>
      <c r="C218" s="46">
        <v>1809</v>
      </c>
      <c r="D218" s="46">
        <v>1066</v>
      </c>
      <c r="E218" s="46">
        <v>1730</v>
      </c>
      <c r="F218" s="46"/>
      <c r="G218" s="46"/>
      <c r="H218" s="46">
        <v>1571</v>
      </c>
      <c r="I218" s="46"/>
      <c r="J218" s="46"/>
      <c r="K218" s="46">
        <v>1248</v>
      </c>
      <c r="L218" s="46"/>
    </row>
    <row r="222" spans="1:12" ht="9.75" customHeight="1" x14ac:dyDescent="0.25"/>
    <row r="233" spans="1:20" s="3" customFormat="1" ht="5.25" customHeight="1" x14ac:dyDescent="0.25">
      <c r="T233" s="4"/>
    </row>
    <row r="235" spans="1:20" x14ac:dyDescent="0.25">
      <c r="A235" s="28"/>
      <c r="B235" s="28" t="s">
        <v>0</v>
      </c>
      <c r="C235" s="28" t="s">
        <v>2</v>
      </c>
      <c r="D235" s="28" t="s">
        <v>3</v>
      </c>
      <c r="E235" s="28" t="s">
        <v>4</v>
      </c>
      <c r="F235" s="17" t="s">
        <v>11</v>
      </c>
      <c r="G235" s="28" t="s">
        <v>5</v>
      </c>
      <c r="H235" s="28" t="s">
        <v>1</v>
      </c>
      <c r="I235" s="28" t="s">
        <v>6</v>
      </c>
      <c r="J235" s="17" t="s">
        <v>12</v>
      </c>
      <c r="K235" s="28" t="s">
        <v>7</v>
      </c>
    </row>
    <row r="236" spans="1:20" x14ac:dyDescent="0.25">
      <c r="A236" s="22">
        <v>2000</v>
      </c>
      <c r="B236" s="52">
        <f>280.7248/0.702804</f>
        <v>399.4354044655409</v>
      </c>
      <c r="C236" s="52">
        <f>390.1639/0.702804</f>
        <v>555.15321483656896</v>
      </c>
      <c r="D236" s="52">
        <f>179.47/0.702804</f>
        <v>255.36280385427517</v>
      </c>
      <c r="E236" s="52">
        <f>231.9863/0.702804</f>
        <v>330.08676672301237</v>
      </c>
      <c r="F236" s="53"/>
      <c r="G236" s="52">
        <f>221.537/0.702804</f>
        <v>315.21875231216671</v>
      </c>
      <c r="H236" s="52">
        <f>1026.8961/0.702804</f>
        <v>1461.1415131387982</v>
      </c>
      <c r="I236" s="52">
        <f>277.5403/0.702804</f>
        <v>394.90426918458064</v>
      </c>
      <c r="J236" s="53"/>
      <c r="K236" s="52">
        <f>62.1697/0.702804</f>
        <v>88.459513605500248</v>
      </c>
    </row>
    <row r="237" spans="1:20" hidden="1" outlineLevel="1" x14ac:dyDescent="0.25">
      <c r="A237" s="22">
        <v>2001</v>
      </c>
      <c r="B237" s="52">
        <f>330.2321/0.702804</f>
        <v>469.87794605608394</v>
      </c>
      <c r="C237" s="52">
        <f>476.7563/0.702804</f>
        <v>678.36309981161185</v>
      </c>
      <c r="D237" s="52">
        <f>206.0892/0.702804</f>
        <v>293.23851315587279</v>
      </c>
      <c r="E237" s="52">
        <f>175.3994/0.702804</f>
        <v>249.57086186191316</v>
      </c>
      <c r="F237" s="53"/>
      <c r="G237" s="52">
        <f>199.3316/0.702804</f>
        <v>283.62331460834031</v>
      </c>
      <c r="H237" s="52">
        <f>1105.3343/0.702804</f>
        <v>1572.7490167955789</v>
      </c>
      <c r="I237" s="52">
        <f>291.9435/0.702804</f>
        <v>415.39817644748746</v>
      </c>
      <c r="J237" s="53"/>
      <c r="K237" s="52">
        <f>51.8791/0.702804</f>
        <v>73.817308951001991</v>
      </c>
    </row>
    <row r="238" spans="1:20" hidden="1" outlineLevel="1" x14ac:dyDescent="0.25">
      <c r="A238" s="22">
        <v>2002</v>
      </c>
      <c r="B238" s="52">
        <f>361.9466/0.702804</f>
        <v>515.00361409439904</v>
      </c>
      <c r="C238" s="52">
        <f>574.9284/0.702804</f>
        <v>818.04941349223964</v>
      </c>
      <c r="D238" s="52">
        <f>245.0506/0.702804</f>
        <v>348.67559091866298</v>
      </c>
      <c r="E238" s="52">
        <f>131.6216/0.702804</f>
        <v>187.28066431039096</v>
      </c>
      <c r="F238" s="53"/>
      <c r="G238" s="52">
        <f>77.0506/0.702804</f>
        <v>109.63312673234644</v>
      </c>
      <c r="H238" s="52">
        <f>1032.0824/0.702804</f>
        <v>1468.5209532102833</v>
      </c>
      <c r="I238" s="52">
        <f>311.0296/0.702804</f>
        <v>442.5552501124069</v>
      </c>
      <c r="J238" s="53"/>
      <c r="K238" s="52">
        <f>53.9616/0.702804</f>
        <v>76.78043949664486</v>
      </c>
    </row>
    <row r="239" spans="1:20" hidden="1" outlineLevel="1" x14ac:dyDescent="0.25">
      <c r="A239" s="22">
        <v>2003</v>
      </c>
      <c r="B239" s="52">
        <f>422.6849/0.702804</f>
        <v>601.42642899015948</v>
      </c>
      <c r="C239" s="52">
        <f>630.72/0.702804</f>
        <v>897.43370840234263</v>
      </c>
      <c r="D239" s="52">
        <f>284.0194/0.702804</f>
        <v>404.12319793285189</v>
      </c>
      <c r="E239" s="52">
        <f>173.1673/0.702804</f>
        <v>246.39486969339961</v>
      </c>
      <c r="F239" s="53"/>
      <c r="G239" s="52">
        <f>88.7059/0.702804</f>
        <v>126.21712454681533</v>
      </c>
      <c r="H239" s="52">
        <f>1376.0369/0.702804</f>
        <v>1957.9241154005954</v>
      </c>
      <c r="I239" s="52">
        <f>400.9615/0.702804</f>
        <v>570.51681549905811</v>
      </c>
      <c r="J239" s="53"/>
      <c r="K239" s="52">
        <v>0</v>
      </c>
    </row>
    <row r="240" spans="1:20" hidden="1" outlineLevel="1" x14ac:dyDescent="0.25">
      <c r="A240" s="22" t="s">
        <v>9</v>
      </c>
      <c r="B240" s="52">
        <f>504.1572/0.702804</f>
        <v>717.35106800758103</v>
      </c>
      <c r="C240" s="52">
        <f>728.5113/0.702804</f>
        <v>1036.5781924974815</v>
      </c>
      <c r="D240" s="52">
        <f>329.1705/0.702804</f>
        <v>468.36742534191609</v>
      </c>
      <c r="E240" s="52">
        <f>248.4969/0.702804</f>
        <v>353.57923403964691</v>
      </c>
      <c r="F240" s="53"/>
      <c r="G240" s="52">
        <f>69.5588/0.702804</f>
        <v>98.973255701447357</v>
      </c>
      <c r="H240" s="52">
        <f>2064.054/0.702804</f>
        <v>2936.8842522239488</v>
      </c>
      <c r="I240" s="52">
        <f>457.3616/0.702804</f>
        <v>650.76692790593108</v>
      </c>
      <c r="J240" s="53"/>
      <c r="K240" s="52">
        <f>85.1128/0.702804</f>
        <v>121.10460384403048</v>
      </c>
    </row>
    <row r="241" spans="1:23" collapsed="1" x14ac:dyDescent="0.25">
      <c r="A241" s="17" t="s">
        <v>10</v>
      </c>
      <c r="B241" s="52">
        <v>896.94</v>
      </c>
      <c r="C241" s="52">
        <v>1249.68</v>
      </c>
      <c r="D241" s="52">
        <v>682.09</v>
      </c>
      <c r="E241" s="52">
        <v>401.96</v>
      </c>
      <c r="F241" s="53"/>
      <c r="G241" s="52">
        <v>111.73</v>
      </c>
      <c r="H241" s="52">
        <v>3429.87</v>
      </c>
      <c r="I241" s="52">
        <v>718.08</v>
      </c>
      <c r="J241" s="53"/>
      <c r="K241" s="52">
        <v>181.14</v>
      </c>
    </row>
    <row r="242" spans="1:23" hidden="1" outlineLevel="1" x14ac:dyDescent="0.25">
      <c r="A242" s="20">
        <v>2006</v>
      </c>
      <c r="B242" s="52">
        <v>1029.07</v>
      </c>
      <c r="C242" s="52">
        <v>1354.07</v>
      </c>
      <c r="D242" s="52">
        <v>644.76</v>
      </c>
      <c r="E242" s="52">
        <v>447.91</v>
      </c>
      <c r="F242" s="53"/>
      <c r="G242" s="52">
        <v>90.53</v>
      </c>
      <c r="H242" s="52">
        <v>4184.82</v>
      </c>
      <c r="I242" s="52">
        <v>801.97</v>
      </c>
      <c r="J242" s="53"/>
      <c r="K242" s="52">
        <v>590.34</v>
      </c>
    </row>
    <row r="243" spans="1:23" hidden="1" outlineLevel="1" x14ac:dyDescent="0.25">
      <c r="A243" s="20">
        <v>2007</v>
      </c>
      <c r="B243" s="52">
        <v>1171.8499999999999</v>
      </c>
      <c r="C243" s="52">
        <v>1438.01</v>
      </c>
      <c r="D243" s="52">
        <v>685.38</v>
      </c>
      <c r="E243" s="52">
        <v>582.17999999999995</v>
      </c>
      <c r="F243" s="53"/>
      <c r="G243" s="52">
        <v>99</v>
      </c>
      <c r="H243" s="52">
        <v>4989.29</v>
      </c>
      <c r="I243" s="52">
        <v>946.5</v>
      </c>
      <c r="J243" s="53"/>
      <c r="K243" s="52">
        <v>915.57</v>
      </c>
    </row>
    <row r="244" spans="1:23" hidden="1" outlineLevel="1" x14ac:dyDescent="0.25">
      <c r="A244" s="24">
        <v>2008</v>
      </c>
      <c r="B244" s="52">
        <v>1265.76</v>
      </c>
      <c r="C244" s="52">
        <v>1535.38</v>
      </c>
      <c r="D244" s="52">
        <v>863.76</v>
      </c>
      <c r="E244" s="52">
        <v>651.26</v>
      </c>
      <c r="F244" s="53"/>
      <c r="G244" s="52">
        <v>120.42</v>
      </c>
      <c r="H244" s="52">
        <v>5696.52</v>
      </c>
      <c r="I244" s="52">
        <v>839.88</v>
      </c>
      <c r="J244" s="53"/>
      <c r="K244" s="52">
        <v>1466.34</v>
      </c>
    </row>
    <row r="245" spans="1:23" hidden="1" outlineLevel="1" x14ac:dyDescent="0.25">
      <c r="A245" s="20">
        <v>2009</v>
      </c>
      <c r="B245" s="52">
        <v>1007.81</v>
      </c>
      <c r="C245" s="52">
        <v>1166.92</v>
      </c>
      <c r="D245" s="52">
        <v>668.66</v>
      </c>
      <c r="E245" s="52">
        <v>539.82000000000005</v>
      </c>
      <c r="F245" s="53"/>
      <c r="G245" s="52">
        <v>110.34</v>
      </c>
      <c r="H245" s="52">
        <v>3893.5</v>
      </c>
      <c r="I245" s="52">
        <v>171.11</v>
      </c>
      <c r="J245" s="53"/>
      <c r="K245" s="52">
        <v>1635.14</v>
      </c>
    </row>
    <row r="246" spans="1:23" collapsed="1" x14ac:dyDescent="0.25">
      <c r="A246" s="20">
        <v>2010</v>
      </c>
      <c r="B246" s="53">
        <v>1318.33</v>
      </c>
      <c r="C246" s="53">
        <v>1590.91</v>
      </c>
      <c r="D246" s="53">
        <v>833.52</v>
      </c>
      <c r="E246" s="53">
        <v>776.26</v>
      </c>
      <c r="F246" s="53"/>
      <c r="G246" s="53"/>
      <c r="H246" s="53">
        <v>4840.8999999999996</v>
      </c>
      <c r="I246" s="53"/>
      <c r="J246" s="53"/>
      <c r="K246" s="53">
        <v>1818.38</v>
      </c>
    </row>
    <row r="247" spans="1:23" hidden="1" outlineLevel="1" x14ac:dyDescent="0.25">
      <c r="A247" s="20">
        <v>2011</v>
      </c>
      <c r="B247" s="53">
        <v>1614.07</v>
      </c>
      <c r="C247" s="53">
        <v>1946.51</v>
      </c>
      <c r="D247" s="53">
        <v>1131</v>
      </c>
      <c r="E247" s="53">
        <v>1104.93</v>
      </c>
      <c r="F247" s="53"/>
      <c r="G247" s="53"/>
      <c r="H247" s="53">
        <v>5582.27</v>
      </c>
      <c r="I247" s="53"/>
      <c r="J247" s="53"/>
      <c r="K247" s="53">
        <v>2765.35</v>
      </c>
    </row>
    <row r="248" spans="1:23" hidden="1" outlineLevel="1" x14ac:dyDescent="0.25">
      <c r="A248" s="20">
        <v>2012</v>
      </c>
      <c r="B248" s="53">
        <v>1924.4</v>
      </c>
      <c r="C248" s="53">
        <v>2255.2800000000002</v>
      </c>
      <c r="D248" s="53">
        <v>1242.31</v>
      </c>
      <c r="E248" s="53">
        <v>1295.74</v>
      </c>
      <c r="F248" s="53"/>
      <c r="G248" s="53"/>
      <c r="H248" s="53">
        <v>7725.99</v>
      </c>
      <c r="I248" s="53"/>
      <c r="J248" s="53"/>
      <c r="K248" s="53">
        <v>4127.6000000000004</v>
      </c>
    </row>
    <row r="249" spans="1:23" hidden="1" outlineLevel="1" x14ac:dyDescent="0.25">
      <c r="A249" s="20">
        <v>2013</v>
      </c>
      <c r="B249" s="53">
        <v>1892.09</v>
      </c>
      <c r="C249" s="53">
        <v>2397.5100000000002</v>
      </c>
      <c r="D249" s="53">
        <v>1144.01</v>
      </c>
      <c r="E249" s="53">
        <v>1637.25</v>
      </c>
      <c r="F249" s="53">
        <v>2232.7399999999998</v>
      </c>
      <c r="G249" s="53"/>
      <c r="H249" s="53">
        <v>3877.86</v>
      </c>
      <c r="I249" s="53"/>
      <c r="J249" s="53">
        <v>4846.3100000000004</v>
      </c>
      <c r="K249" s="53">
        <v>3649.76</v>
      </c>
    </row>
    <row r="250" spans="1:23" hidden="1" outlineLevel="1" x14ac:dyDescent="0.25">
      <c r="A250" s="20">
        <v>2014</v>
      </c>
      <c r="B250" s="53">
        <v>1879.79</v>
      </c>
      <c r="C250" s="53">
        <v>2266.69</v>
      </c>
      <c r="D250" s="53">
        <v>1136.83</v>
      </c>
      <c r="E250" s="53">
        <v>1491.29</v>
      </c>
      <c r="F250" s="53">
        <v>2084.4499999999998</v>
      </c>
      <c r="G250" s="53"/>
      <c r="H250" s="53">
        <v>2217.0300000000002</v>
      </c>
      <c r="I250" s="53"/>
      <c r="J250" s="53">
        <v>4396.91</v>
      </c>
      <c r="K250" s="53">
        <v>3797.07</v>
      </c>
    </row>
    <row r="251" spans="1:23" collapsed="1" x14ac:dyDescent="0.25">
      <c r="A251" s="20">
        <v>2015</v>
      </c>
      <c r="B251" s="53">
        <v>1977.643</v>
      </c>
      <c r="C251" s="53">
        <v>2326.1309999999999</v>
      </c>
      <c r="D251" s="53">
        <v>1065.625</v>
      </c>
      <c r="E251" s="53">
        <v>1516.9280000000001</v>
      </c>
      <c r="F251" s="53">
        <v>666.17399999999998</v>
      </c>
      <c r="G251" s="53"/>
      <c r="H251" s="53">
        <v>3229.55</v>
      </c>
      <c r="I251" s="53"/>
      <c r="J251" s="53"/>
      <c r="K251" s="53">
        <v>3557.442</v>
      </c>
    </row>
    <row r="252" spans="1:23" x14ac:dyDescent="0.25">
      <c r="A252" s="20">
        <v>2016</v>
      </c>
      <c r="B252" s="53">
        <v>2073</v>
      </c>
      <c r="C252" s="53">
        <v>2487</v>
      </c>
      <c r="D252" s="53">
        <v>1169</v>
      </c>
      <c r="E252" s="53">
        <v>1689</v>
      </c>
      <c r="F252" s="53">
        <v>616</v>
      </c>
      <c r="G252" s="53"/>
      <c r="H252" s="53">
        <v>2588</v>
      </c>
      <c r="I252" s="53"/>
      <c r="J252" s="53">
        <v>5818</v>
      </c>
      <c r="K252" s="53">
        <v>3212</v>
      </c>
    </row>
    <row r="253" spans="1:23" x14ac:dyDescent="0.25">
      <c r="A253" s="20">
        <v>2017</v>
      </c>
      <c r="B253" s="53">
        <v>2326</v>
      </c>
      <c r="C253" s="53">
        <v>2659</v>
      </c>
      <c r="D253" s="53">
        <v>1291</v>
      </c>
      <c r="E253" s="53">
        <v>2305</v>
      </c>
      <c r="F253" s="53">
        <v>662</v>
      </c>
      <c r="G253" s="53"/>
      <c r="H253" s="53">
        <v>3074</v>
      </c>
      <c r="I253" s="53"/>
      <c r="J253" s="53">
        <v>6057</v>
      </c>
      <c r="K253" s="53">
        <v>4312</v>
      </c>
      <c r="W253" s="1">
        <f>+V221</f>
        <v>0</v>
      </c>
    </row>
    <row r="254" spans="1:23" x14ac:dyDescent="0.25">
      <c r="A254" s="20">
        <v>2018</v>
      </c>
      <c r="B254" s="53">
        <v>2530</v>
      </c>
      <c r="C254" s="53">
        <v>2734</v>
      </c>
      <c r="D254" s="53">
        <v>1667</v>
      </c>
      <c r="E254" s="53">
        <v>2429</v>
      </c>
      <c r="F254" s="53">
        <v>809</v>
      </c>
      <c r="G254" s="53"/>
      <c r="H254" s="53">
        <v>3228</v>
      </c>
      <c r="I254" s="53"/>
      <c r="J254" s="53">
        <v>6123</v>
      </c>
      <c r="K254" s="53">
        <v>6319</v>
      </c>
    </row>
    <row r="255" spans="1:23" x14ac:dyDescent="0.25">
      <c r="A255" s="20">
        <v>2019</v>
      </c>
      <c r="B255" s="46">
        <v>2621.7064966516837</v>
      </c>
      <c r="C255" s="46">
        <v>2850.8015354899785</v>
      </c>
      <c r="D255" s="46">
        <v>1869.1795492772344</v>
      </c>
      <c r="E255" s="46">
        <v>2527.0051799793087</v>
      </c>
      <c r="F255" s="46">
        <v>820.38738143013495</v>
      </c>
      <c r="G255" s="53"/>
      <c r="H255" s="46">
        <v>3497.2756416429565</v>
      </c>
      <c r="I255" s="53"/>
      <c r="J255" s="46">
        <v>5591.2781301518426</v>
      </c>
      <c r="K255" s="46">
        <v>6142.1940394030553</v>
      </c>
    </row>
    <row r="256" spans="1:23" x14ac:dyDescent="0.25">
      <c r="A256" s="20">
        <v>2020</v>
      </c>
      <c r="B256" s="46">
        <v>2741.8078795260785</v>
      </c>
      <c r="C256" s="46">
        <v>3451.653457594799</v>
      </c>
      <c r="D256" s="46">
        <v>1820.0178153720219</v>
      </c>
      <c r="E256" s="46">
        <v>2586.8393685846463</v>
      </c>
      <c r="F256" s="46">
        <v>869.16675759397094</v>
      </c>
      <c r="G256" s="53"/>
      <c r="H256" s="46">
        <v>3841.170106232712</v>
      </c>
      <c r="I256" s="53"/>
      <c r="J256" s="46">
        <v>5575.2331287275256</v>
      </c>
      <c r="K256" s="46">
        <v>5748.1715929521761</v>
      </c>
      <c r="L256" s="32"/>
    </row>
    <row r="257" spans="1:20" x14ac:dyDescent="0.25">
      <c r="A257" s="36">
        <v>2021</v>
      </c>
      <c r="B257" s="46">
        <v>3432</v>
      </c>
      <c r="C257" s="46">
        <v>3805</v>
      </c>
      <c r="D257" s="46">
        <v>2119</v>
      </c>
      <c r="E257" s="46">
        <v>3218</v>
      </c>
      <c r="F257" s="46"/>
      <c r="G257" s="46"/>
      <c r="H257" s="46">
        <v>4853</v>
      </c>
      <c r="I257" s="46"/>
      <c r="J257" s="46"/>
      <c r="K257" s="46">
        <v>8625</v>
      </c>
    </row>
    <row r="258" spans="1:20" x14ac:dyDescent="0.25">
      <c r="A258" s="36">
        <v>2022</v>
      </c>
      <c r="B258" s="46">
        <v>3989</v>
      </c>
      <c r="C258" s="46">
        <v>4167</v>
      </c>
      <c r="D258" s="46">
        <v>2738</v>
      </c>
      <c r="E258" s="46">
        <v>4250</v>
      </c>
      <c r="F258" s="46"/>
      <c r="G258" s="46"/>
      <c r="H258" s="46">
        <v>6123</v>
      </c>
      <c r="I258" s="46"/>
      <c r="J258" s="46"/>
      <c r="K258" s="46">
        <v>10587</v>
      </c>
    </row>
    <row r="259" spans="1:20" x14ac:dyDescent="0.25">
      <c r="B259" s="46"/>
      <c r="C259" s="46"/>
      <c r="D259" s="46"/>
      <c r="E259" s="46"/>
      <c r="F259" s="46"/>
      <c r="G259" s="46"/>
      <c r="H259" s="46"/>
      <c r="I259" s="46"/>
      <c r="J259" s="46"/>
      <c r="K259" s="46"/>
    </row>
    <row r="260" spans="1:20" x14ac:dyDescent="0.25">
      <c r="B260" s="46"/>
      <c r="C260" s="46"/>
      <c r="D260" s="46"/>
      <c r="E260" s="46"/>
      <c r="F260" s="46"/>
      <c r="G260" s="46"/>
      <c r="H260" s="46"/>
      <c r="I260" s="46"/>
      <c r="J260" s="46"/>
      <c r="K260" s="46"/>
    </row>
    <row r="261" spans="1:20" x14ac:dyDescent="0.25">
      <c r="B261" s="46"/>
      <c r="C261" s="46"/>
      <c r="D261" s="46"/>
      <c r="E261" s="46"/>
      <c r="F261" s="46"/>
      <c r="G261" s="46"/>
      <c r="H261" s="46"/>
      <c r="I261" s="46"/>
      <c r="J261" s="46"/>
      <c r="K261" s="46"/>
    </row>
    <row r="262" spans="1:20" x14ac:dyDescent="0.25"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T262" s="2" t="s">
        <v>19</v>
      </c>
    </row>
    <row r="263" spans="1:20" x14ac:dyDescent="0.25">
      <c r="B263" s="46"/>
      <c r="C263" s="46"/>
      <c r="D263" s="46"/>
      <c r="E263" s="46"/>
      <c r="F263" s="46"/>
      <c r="G263" s="46"/>
      <c r="H263" s="46"/>
      <c r="I263" s="46"/>
      <c r="J263" s="46"/>
      <c r="K263" s="46"/>
    </row>
    <row r="264" spans="1:20" x14ac:dyDescent="0.25">
      <c r="B264" s="46"/>
      <c r="C264" s="46"/>
      <c r="D264" s="46"/>
      <c r="E264" s="46"/>
      <c r="F264" s="46"/>
      <c r="G264" s="46"/>
      <c r="H264" s="46"/>
      <c r="I264" s="46"/>
      <c r="J264" s="46"/>
      <c r="K264" s="46"/>
    </row>
    <row r="265" spans="1:20" x14ac:dyDescent="0.25">
      <c r="B265" s="46"/>
      <c r="C265" s="46"/>
      <c r="D265" s="46"/>
      <c r="E265" s="46"/>
      <c r="F265" s="46"/>
      <c r="G265" s="46"/>
      <c r="H265" s="46"/>
      <c r="I265" s="46"/>
      <c r="J265" s="46"/>
      <c r="K265" s="46"/>
    </row>
    <row r="266" spans="1:20" x14ac:dyDescent="0.25">
      <c r="B266" s="46"/>
      <c r="C266" s="46"/>
      <c r="D266" s="46"/>
      <c r="E266" s="46"/>
      <c r="F266" s="46"/>
      <c r="G266" s="46"/>
      <c r="H266" s="46"/>
      <c r="I266" s="46"/>
      <c r="J266" s="46"/>
      <c r="K266" s="46"/>
    </row>
    <row r="267" spans="1:20" x14ac:dyDescent="0.25">
      <c r="B267" s="46"/>
      <c r="C267" s="46"/>
      <c r="D267" s="46"/>
      <c r="E267" s="46"/>
      <c r="F267" s="46"/>
      <c r="G267" s="46"/>
      <c r="H267" s="46"/>
      <c r="I267" s="46"/>
      <c r="J267" s="46"/>
      <c r="K267" s="46"/>
    </row>
    <row r="268" spans="1:20" x14ac:dyDescent="0.25">
      <c r="B268" s="46"/>
      <c r="C268" s="46"/>
      <c r="D268" s="46"/>
      <c r="E268" s="46"/>
      <c r="F268" s="46"/>
      <c r="G268" s="46"/>
      <c r="H268" s="46"/>
      <c r="I268" s="46"/>
      <c r="J268" s="46"/>
      <c r="K268" s="46"/>
    </row>
    <row r="275" spans="1:20" s="3" customFormat="1" ht="5.25" customHeight="1" x14ac:dyDescent="0.25">
      <c r="T275" s="4"/>
    </row>
    <row r="277" spans="1:20" x14ac:dyDescent="0.25">
      <c r="A277" s="10"/>
      <c r="B277" s="8"/>
      <c r="C277" s="8"/>
      <c r="D277" s="8"/>
      <c r="E277" s="8"/>
      <c r="F277" s="8"/>
      <c r="G277" s="8"/>
      <c r="H277" s="8"/>
    </row>
    <row r="278" spans="1:20" x14ac:dyDescent="0.25">
      <c r="A278" s="11"/>
      <c r="B278" s="12"/>
      <c r="C278" s="12"/>
      <c r="D278" s="12"/>
      <c r="E278" s="12"/>
      <c r="F278" s="12"/>
      <c r="G278" s="12"/>
      <c r="H278" s="12"/>
    </row>
    <row r="279" spans="1:20" x14ac:dyDescent="0.25">
      <c r="A279" s="11"/>
      <c r="B279" s="12"/>
      <c r="C279" s="12"/>
      <c r="D279" s="12"/>
      <c r="E279" s="12"/>
      <c r="F279" s="12"/>
      <c r="G279" s="12"/>
      <c r="H279" s="12"/>
    </row>
    <row r="280" spans="1:20" x14ac:dyDescent="0.25">
      <c r="A280" s="11"/>
      <c r="B280" s="12"/>
      <c r="C280" s="12"/>
      <c r="D280" s="12"/>
      <c r="E280" s="12"/>
      <c r="F280" s="12"/>
      <c r="G280" s="12"/>
      <c r="H280" s="12"/>
    </row>
    <row r="281" spans="1:20" x14ac:dyDescent="0.25">
      <c r="A281" s="11"/>
      <c r="B281" s="12"/>
      <c r="C281" s="12"/>
      <c r="D281" s="12"/>
      <c r="E281" s="12"/>
      <c r="F281" s="12"/>
      <c r="G281" s="12"/>
      <c r="H281" s="12"/>
    </row>
    <row r="282" spans="1:20" x14ac:dyDescent="0.25">
      <c r="A282" s="11"/>
      <c r="B282" s="12"/>
      <c r="C282" s="12"/>
      <c r="D282" s="12"/>
      <c r="E282" s="12"/>
      <c r="F282" s="12"/>
      <c r="G282" s="12"/>
      <c r="H282" s="12"/>
    </row>
    <row r="283" spans="1:20" x14ac:dyDescent="0.25">
      <c r="A283" s="11"/>
      <c r="B283" s="12"/>
      <c r="C283" s="12"/>
      <c r="D283" s="12"/>
      <c r="E283" s="12"/>
      <c r="F283" s="12"/>
      <c r="G283" s="12"/>
      <c r="H283" s="12"/>
    </row>
    <row r="284" spans="1:20" x14ac:dyDescent="0.25">
      <c r="A284" s="11"/>
      <c r="B284" s="12"/>
      <c r="C284" s="12"/>
      <c r="D284" s="12"/>
      <c r="E284" s="12"/>
      <c r="F284" s="12"/>
      <c r="G284" s="12"/>
      <c r="H284" s="12"/>
    </row>
    <row r="285" spans="1:20" x14ac:dyDescent="0.25">
      <c r="A285" s="11"/>
      <c r="B285" s="12"/>
      <c r="C285" s="12"/>
      <c r="D285" s="12"/>
      <c r="E285" s="12"/>
      <c r="F285" s="12"/>
      <c r="G285" s="12"/>
      <c r="H285" s="12"/>
    </row>
    <row r="286" spans="1:20" x14ac:dyDescent="0.25">
      <c r="A286" s="11"/>
      <c r="B286" s="12"/>
      <c r="C286" s="12"/>
      <c r="D286" s="12"/>
      <c r="E286" s="12"/>
      <c r="F286" s="12"/>
      <c r="G286" s="12"/>
      <c r="H286" s="12"/>
    </row>
    <row r="305" spans="20:20" s="3" customFormat="1" ht="5.25" customHeight="1" x14ac:dyDescent="0.25">
      <c r="T305" s="4"/>
    </row>
  </sheetData>
  <phoneticPr fontId="1" type="noConversion"/>
  <printOptions horizontalCentered="1" verticalCentered="1"/>
  <pageMargins left="0.74803149606299213" right="3.937007874015748E-2" top="0.6692913385826772" bottom="0.98425196850393704" header="0.51181102362204722" footer="0.51181102362204722"/>
  <pageSetup paperSize="9" scale="80" orientation="portrait" horizontalDpi="4294967293" verticalDpi="300" r:id="rId1"/>
  <headerFooter alignWithMargins="0"/>
  <ignoredErrors>
    <ignoredError sqref="J16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O16" sqref="O16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rūpniecība</vt:lpstr>
      <vt:lpstr>Sheet1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Sintija Biša</cp:lastModifiedBy>
  <cp:lastPrinted>2005-05-23T10:45:02Z</cp:lastPrinted>
  <dcterms:created xsi:type="dcterms:W3CDTF">2005-05-23T10:39:36Z</dcterms:created>
  <dcterms:modified xsi:type="dcterms:W3CDTF">2023-06-19T07:18:41Z</dcterms:modified>
</cp:coreProperties>
</file>