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A127E2EC-D1F7-4E2C-B470-CC46DDA34873}" xr6:coauthVersionLast="47" xr6:coauthVersionMax="47" xr10:uidLastSave="{00000000-0000-0000-0000-000000000000}"/>
  <bookViews>
    <workbookView xWindow="2652" yWindow="2652" windowWidth="17280" windowHeight="8880" xr2:uid="{00000000-000D-0000-FFFF-FFFF00000000}"/>
  </bookViews>
  <sheets>
    <sheet name="ienemum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7" i="1" l="1"/>
  <c r="K376" i="1"/>
  <c r="K375" i="1"/>
  <c r="K374" i="1"/>
  <c r="K373" i="1"/>
  <c r="K372" i="1"/>
  <c r="K371" i="1"/>
  <c r="K370" i="1"/>
  <c r="K369" i="1"/>
  <c r="K368" i="1"/>
  <c r="K367" i="1"/>
  <c r="K366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H376" i="1"/>
  <c r="H375" i="1"/>
  <c r="H374" i="1"/>
  <c r="H373" i="1"/>
  <c r="H372" i="1"/>
  <c r="H371" i="1"/>
  <c r="H370" i="1"/>
  <c r="H369" i="1"/>
  <c r="H368" i="1"/>
  <c r="H367" i="1"/>
  <c r="H366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E376" i="1"/>
  <c r="E375" i="1"/>
  <c r="E374" i="1"/>
  <c r="E373" i="1"/>
  <c r="E372" i="1"/>
  <c r="E371" i="1"/>
  <c r="E370" i="1"/>
  <c r="E369" i="1"/>
  <c r="E368" i="1"/>
  <c r="E367" i="1"/>
  <c r="E366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B376" i="1"/>
  <c r="B375" i="1"/>
  <c r="B374" i="1"/>
  <c r="B373" i="1"/>
  <c r="B372" i="1"/>
  <c r="B371" i="1"/>
  <c r="B370" i="1"/>
  <c r="B369" i="1"/>
  <c r="B368" i="1"/>
  <c r="B367" i="1"/>
  <c r="B366" i="1"/>
  <c r="K80" i="1"/>
  <c r="I80" i="1"/>
  <c r="H80" i="1"/>
  <c r="G80" i="1"/>
  <c r="E80" i="1"/>
  <c r="D80" i="1"/>
  <c r="C80" i="1"/>
  <c r="B80" i="1"/>
  <c r="K79" i="1"/>
  <c r="I79" i="1"/>
  <c r="H79" i="1"/>
  <c r="G79" i="1"/>
  <c r="E79" i="1"/>
  <c r="D79" i="1"/>
  <c r="C79" i="1"/>
  <c r="B79" i="1"/>
  <c r="K78" i="1"/>
  <c r="I78" i="1"/>
  <c r="H78" i="1"/>
  <c r="G78" i="1"/>
  <c r="E78" i="1"/>
  <c r="D78" i="1"/>
  <c r="C78" i="1"/>
  <c r="B78" i="1"/>
  <c r="K77" i="1"/>
  <c r="I77" i="1"/>
  <c r="H77" i="1"/>
  <c r="G77" i="1"/>
  <c r="E77" i="1"/>
  <c r="D77" i="1"/>
  <c r="C77" i="1"/>
  <c r="B77" i="1"/>
  <c r="K76" i="1"/>
  <c r="I76" i="1"/>
  <c r="H76" i="1"/>
  <c r="G76" i="1"/>
  <c r="E76" i="1"/>
  <c r="D76" i="1"/>
  <c r="C76" i="1"/>
  <c r="B76" i="1"/>
  <c r="K75" i="1"/>
  <c r="I75" i="1"/>
  <c r="H75" i="1"/>
  <c r="G75" i="1"/>
  <c r="E75" i="1"/>
  <c r="D75" i="1"/>
  <c r="C75" i="1"/>
  <c r="B75" i="1"/>
  <c r="K74" i="1"/>
  <c r="I74" i="1"/>
  <c r="H74" i="1"/>
  <c r="G74" i="1"/>
  <c r="E74" i="1"/>
  <c r="D74" i="1"/>
  <c r="C74" i="1"/>
  <c r="B74" i="1"/>
  <c r="K73" i="1"/>
  <c r="I73" i="1"/>
  <c r="H73" i="1"/>
  <c r="G73" i="1"/>
  <c r="E73" i="1"/>
  <c r="D73" i="1"/>
  <c r="C73" i="1"/>
  <c r="B73" i="1"/>
  <c r="D48" i="1"/>
  <c r="D47" i="1"/>
  <c r="D46" i="1"/>
  <c r="D45" i="1"/>
  <c r="D44" i="1"/>
  <c r="D43" i="1"/>
  <c r="C48" i="1"/>
  <c r="C47" i="1"/>
  <c r="C46" i="1"/>
  <c r="C45" i="1"/>
  <c r="C44" i="1"/>
  <c r="C43" i="1"/>
  <c r="C42" i="1"/>
  <c r="C41" i="1"/>
  <c r="C40" i="1"/>
  <c r="C39" i="1"/>
  <c r="B48" i="1"/>
  <c r="B47" i="1"/>
  <c r="B46" i="1"/>
  <c r="B45" i="1"/>
  <c r="B44" i="1"/>
  <c r="B43" i="1"/>
  <c r="B42" i="1"/>
  <c r="B41" i="1"/>
  <c r="B40" i="1"/>
  <c r="B39" i="1"/>
  <c r="E18" i="1"/>
  <c r="E17" i="1"/>
  <c r="E16" i="1"/>
  <c r="E15" i="1"/>
  <c r="E14" i="1"/>
  <c r="E13" i="1"/>
  <c r="E12" i="1"/>
  <c r="E11" i="1"/>
  <c r="E10" i="1"/>
  <c r="E9" i="1"/>
  <c r="E8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3" i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Leimane</author>
  </authors>
  <commentList>
    <comment ref="B91" authorId="0" shapeId="0" xr:uid="{15A47063-5B08-4493-A61F-ABAE03738CF9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VSAA Statistikas daļa</t>
        </r>
      </text>
    </comment>
    <comment ref="B92" authorId="0" shapeId="0" xr:uid="{BF08DAAF-EF54-4D5B-975F-8DBB6C460018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VSAA 
Statistikas daļa</t>
        </r>
      </text>
    </comment>
    <comment ref="B114" authorId="0" shapeId="0" xr:uid="{35DB93D4-4AE1-4457-8872-DFC05CF0C1D5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DSV061c</t>
        </r>
      </text>
    </comment>
    <comment ref="B115" authorId="0" shapeId="0" xr:uid="{FE3E5429-B627-4262-B29E-CB6F0D82CB15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stat.gov.lv
DSV061</t>
        </r>
      </text>
    </comment>
    <comment ref="B388" authorId="0" shapeId="0" xr:uid="{E9919FC9-CEE6-4B87-A05C-570E36FA34F3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DSV061</t>
        </r>
      </text>
    </comment>
    <comment ref="B389" authorId="0" shapeId="0" xr:uid="{554791CF-F54E-48F3-B875-F7EB135DF33B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stst.gov.lv
DSV061</t>
        </r>
      </text>
    </comment>
  </commentList>
</comments>
</file>

<file path=xl/sharedStrings.xml><?xml version="1.0" encoding="utf-8"?>
<sst xmlns="http://schemas.openxmlformats.org/spreadsheetml/2006/main" count="71" uniqueCount="42">
  <si>
    <t>Latvija</t>
  </si>
  <si>
    <t>Rīga</t>
  </si>
  <si>
    <t>Daugavpils</t>
  </si>
  <si>
    <t>Jelgava</t>
  </si>
  <si>
    <t>Jūrmala</t>
  </si>
  <si>
    <t>Liepāja</t>
  </si>
  <si>
    <t>Rēzekne</t>
  </si>
  <si>
    <t>Ventspils</t>
  </si>
  <si>
    <t>2001</t>
  </si>
  <si>
    <t>2002</t>
  </si>
  <si>
    <t>2003</t>
  </si>
  <si>
    <t xml:space="preserve">2004 </t>
  </si>
  <si>
    <t>PAKALPOJUMU NOZARES KOPĀ: tai skaitā:</t>
  </si>
  <si>
    <t>Izglītība</t>
  </si>
  <si>
    <t>Veselība un sociālā aprūpe</t>
  </si>
  <si>
    <t>PREČU RAŽOŠANAS NOZARES KOPĀ: tai skaitā:</t>
  </si>
  <si>
    <t>Energoapgāde</t>
  </si>
  <si>
    <t>Būvniecība</t>
  </si>
  <si>
    <t xml:space="preserve"> </t>
  </si>
  <si>
    <t>2005</t>
  </si>
  <si>
    <t>patēriņa cenas, %</t>
  </si>
  <si>
    <t>Liepājā strādājošo mēneša vidējā bruto darba samaksa, %</t>
  </si>
  <si>
    <t>Izmitināšanas un ēdināšanas pak.</t>
  </si>
  <si>
    <t xml:space="preserve">Transports, glabāšana </t>
  </si>
  <si>
    <t xml:space="preserve">Operācijas ar nekustamo īpašumu, </t>
  </si>
  <si>
    <t>Pārējie pakalpojumi</t>
  </si>
  <si>
    <t>Ūdens apgāde</t>
  </si>
  <si>
    <t>Jēkabpils</t>
  </si>
  <si>
    <t>Valmiera</t>
  </si>
  <si>
    <t xml:space="preserve">Rēzekne </t>
  </si>
  <si>
    <t xml:space="preserve">Valmiera </t>
  </si>
  <si>
    <t>Tirdzniecība,auto, moto remonts</t>
  </si>
  <si>
    <t>Valsts pārvalde un aizsardzība</t>
  </si>
  <si>
    <t>Zvejniecība, mežsaimniecība</t>
  </si>
  <si>
    <t>Rūpniecība</t>
  </si>
  <si>
    <t>Vidējā apdrošināšanas iemaksu alga</t>
  </si>
  <si>
    <t>Vidējā bruto darba samaksa sabiedriskajā sektorā,</t>
  </si>
  <si>
    <t>Vidējā bruto darba samaksa privātajā sektorā (ar nodarbināto skaitu virs 50)</t>
  </si>
  <si>
    <t>2023., %</t>
  </si>
  <si>
    <t>Liepāja, vidējā apdrošināšanas iemaksu alga, eiro/mēn.</t>
  </si>
  <si>
    <t>Liepāja, vidējā izmaksātā vecuma pensija, eiro/mēn.</t>
  </si>
  <si>
    <t>Latvija, vidējā apdrošināšanas iemaksu alga, eiro/mēn.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</si>
</sst>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#,##0_ ;[Red]\-#,##0\ "/>
    <numFmt numFmtId="166" formatCode="0.0"/>
  </numFmts>
  <fonts count="10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19"/>
      </left>
      <right style="hair">
        <color indexed="19"/>
      </right>
      <top/>
      <bottom style="hair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165" fontId="0" fillId="2" borderId="0" xfId="0" applyNumberFormat="1" applyFill="1"/>
    <xf numFmtId="1" fontId="0" fillId="2" borderId="0" xfId="0" applyNumberFormat="1" applyFill="1"/>
    <xf numFmtId="166" fontId="0" fillId="2" borderId="0" xfId="0" applyNumberFormat="1" applyFill="1"/>
    <xf numFmtId="0" fontId="2" fillId="2" borderId="0" xfId="0" applyFont="1" applyFill="1" applyAlignment="1">
      <alignment horizontal="center" wrapText="1"/>
    </xf>
    <xf numFmtId="165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165" fontId="4" fillId="2" borderId="0" xfId="0" applyNumberFormat="1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165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/>
    <xf numFmtId="0" fontId="4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165" fontId="2" fillId="2" borderId="1" xfId="0" applyNumberFormat="1" applyFont="1" applyFill="1" applyBorder="1" applyAlignment="1">
      <alignment horizontal="right"/>
    </xf>
    <xf numFmtId="3" fontId="4" fillId="4" borderId="0" xfId="0" applyNumberFormat="1" applyFont="1" applyFill="1" applyAlignment="1">
      <alignment vertical="center"/>
    </xf>
    <xf numFmtId="0" fontId="0" fillId="4" borderId="0" xfId="0" applyFill="1"/>
    <xf numFmtId="1" fontId="0" fillId="4" borderId="0" xfId="0" applyNumberFormat="1" applyFill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2" borderId="0" xfId="0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/>
    </xf>
    <xf numFmtId="165" fontId="5" fillId="4" borderId="0" xfId="0" applyNumberFormat="1" applyFont="1" applyFill="1"/>
    <xf numFmtId="165" fontId="5" fillId="4" borderId="6" xfId="0" applyNumberFormat="1" applyFont="1" applyFill="1" applyBorder="1"/>
    <xf numFmtId="165" fontId="5" fillId="4" borderId="1" xfId="0" applyNumberFormat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left"/>
    </xf>
    <xf numFmtId="0" fontId="0" fillId="4" borderId="0" xfId="0" applyFill="1" applyAlignment="1">
      <alignment horizontal="left"/>
    </xf>
    <xf numFmtId="164" fontId="0" fillId="4" borderId="0" xfId="0" applyNumberFormat="1" applyFill="1"/>
    <xf numFmtId="0" fontId="0" fillId="0" borderId="7" xfId="0" applyBorder="1"/>
    <xf numFmtId="1" fontId="0" fillId="0" borderId="7" xfId="0" applyNumberFormat="1" applyBorder="1"/>
    <xf numFmtId="0" fontId="4" fillId="4" borderId="7" xfId="0" applyFont="1" applyFill="1" applyBorder="1" applyAlignment="1">
      <alignment horizontal="left" wrapText="1"/>
    </xf>
    <xf numFmtId="165" fontId="5" fillId="4" borderId="6" xfId="0" applyNumberFormat="1" applyFont="1" applyFill="1" applyBorder="1" applyAlignment="1">
      <alignment horizontal="center"/>
    </xf>
  </cellXfs>
  <cellStyles count="1">
    <cellStyle name="Parast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48FCC9"/>
      <rgbColor rgb="00FF9966"/>
      <rgbColor rgb="00993366"/>
      <rgbColor rgb="00FF0F70"/>
      <rgbColor rgb="00424242"/>
    </indexedColors>
    <mruColors>
      <color rgb="FF800080"/>
      <color rgb="FF0000FF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ienemumi!#REF!</c:v>
          </c:tx>
          <c:spPr>
            <a:ln w="25400">
              <a:solidFill>
                <a:srgbClr val="33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D9-40B1-B1C4-8B1BB59C03A2}"/>
            </c:ext>
          </c:extLst>
        </c:ser>
        <c:ser>
          <c:idx val="0"/>
          <c:order val="1"/>
          <c:tx>
            <c:v>ienemumi!#REF!</c:v>
          </c:tx>
          <c:spPr>
            <a:ln w="25400">
              <a:solidFill>
                <a:srgbClr val="9966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9D9-40B1-B1C4-8B1BB59C0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921296"/>
        <c:axId val="-36918032"/>
      </c:lineChart>
      <c:catAx>
        <c:axId val="-369212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918032"/>
        <c:crosses val="autoZero"/>
        <c:auto val="1"/>
        <c:lblAlgn val="ctr"/>
        <c:lblOffset val="100"/>
        <c:tickMarkSkip val="1"/>
        <c:noMultiLvlLbl val="0"/>
      </c:catAx>
      <c:valAx>
        <c:axId val="-36918032"/>
        <c:scaling>
          <c:orientation val="minMax"/>
          <c:min val="5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921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pilsētas uzņēmumu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ienemumi!#REF!</c:v>
          </c:tx>
          <c:spPr>
            <a:gradFill rotWithShape="0">
              <a:gsLst>
                <a:gs pos="0">
                  <a:srgbClr val="CCFFCC"/>
                </a:gs>
                <a:gs pos="100000">
                  <a:srgbClr val="CCFFCC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AE6-4C5B-829E-C0F7095BC0C4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008080">
                    <a:gamma/>
                    <a:tint val="69804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AE6-4C5B-829E-C0F7095BC0C4}"/>
            </c:ext>
          </c:extLst>
        </c:ser>
        <c:ser>
          <c:idx val="0"/>
          <c:order val="2"/>
          <c:tx>
            <c:v>ienemumi!#REF!</c:v>
          </c:tx>
          <c:spPr>
            <a:gradFill rotWithShape="0">
              <a:gsLst>
                <a:gs pos="0">
                  <a:srgbClr val="339933"/>
                </a:gs>
                <a:gs pos="100000">
                  <a:srgbClr val="339933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AE6-4C5B-829E-C0F7095BC0C4}"/>
            </c:ext>
          </c:extLst>
        </c:ser>
        <c:ser>
          <c:idx val="3"/>
          <c:order val="3"/>
          <c:tx>
            <c:v>ienemumi!#REF!</c:v>
          </c:tx>
          <c:spPr>
            <a:gradFill rotWithShape="0">
              <a:gsLst>
                <a:gs pos="0">
                  <a:srgbClr val="808000"/>
                </a:gs>
                <a:gs pos="100000">
                  <a:srgbClr val="808000">
                    <a:gamma/>
                    <a:shade val="6352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AE6-4C5B-829E-C0F7095BC0C4}"/>
            </c:ext>
          </c:extLst>
        </c:ser>
        <c:ser>
          <c:idx val="4"/>
          <c:order val="4"/>
          <c:tx>
            <c:v>ienemumi!#REF!</c:v>
          </c:tx>
          <c:spPr>
            <a:gradFill rotWithShape="0">
              <a:gsLst>
                <a:gs pos="0">
                  <a:srgbClr val="999933"/>
                </a:gs>
                <a:gs pos="100000">
                  <a:srgbClr val="999933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AE6-4C5B-829E-C0F7095BC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0560"/>
        <c:axId val="-41251648"/>
      </c:barChart>
      <c:catAx>
        <c:axId val="-412505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41251648"/>
        <c:crosses val="autoZero"/>
        <c:auto val="1"/>
        <c:lblAlgn val="ctr"/>
        <c:lblOffset val="100"/>
        <c:tickMarkSkip val="1"/>
        <c:noMultiLvlLbl val="0"/>
      </c:catAx>
      <c:valAx>
        <c:axId val="-41251648"/>
        <c:scaling>
          <c:orientation val="minMax"/>
          <c:max val="148"/>
          <c:min val="-2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0560"/>
        <c:crosses val="autoZero"/>
        <c:crossBetween val="between"/>
        <c:majorUnit val="6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2004.gadā,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339933"/>
                </a:gs>
                <a:gs pos="100000">
                  <a:srgbClr val="339933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95-457D-AA42-F85A9A186677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95-457D-AA42-F85A9A186677}"/>
            </c:ext>
          </c:extLst>
        </c:ser>
        <c:ser>
          <c:idx val="2"/>
          <c:order val="2"/>
          <c:tx>
            <c:v>ienemumi!#REF!</c:v>
          </c:tx>
          <c:spPr>
            <a:pattFill prst="wdUpDiag">
              <a:fgClr>
                <a:srgbClr val="FFFFFF"/>
              </a:fgClr>
              <a:bgClr>
                <a:srgbClr val="A6CAF0"/>
              </a:bgClr>
            </a:pattFill>
            <a:ln w="25400">
              <a:solidFill>
                <a:srgbClr val="A6CAF0"/>
              </a:solidFill>
              <a:prstDash val="solid"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95-457D-AA42-F85A9A186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0016"/>
        <c:axId val="-41249472"/>
      </c:barChart>
      <c:catAx>
        <c:axId val="-412500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41249472"/>
        <c:crosses val="autoZero"/>
        <c:auto val="1"/>
        <c:lblAlgn val="ctr"/>
        <c:lblOffset val="100"/>
        <c:tickMarkSkip val="1"/>
        <c:noMultiLvlLbl val="0"/>
      </c:catAx>
      <c:valAx>
        <c:axId val="-412494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0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realizācijas pārmaiņas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999933"/>
                </a:gs>
                <a:gs pos="100000">
                  <a:srgbClr val="999933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161-4A97-98B3-5260AC2F2367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00FFFF"/>
                </a:gs>
                <a:gs pos="100000">
                  <a:srgbClr val="00FF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161-4A97-98B3-5260AC2F2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6000"/>
        <c:axId val="-348315584"/>
      </c:barChart>
      <c:catAx>
        <c:axId val="-412560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5584"/>
        <c:crosses val="autoZero"/>
        <c:auto val="1"/>
        <c:lblAlgn val="ctr"/>
        <c:lblOffset val="100"/>
        <c:tickMarkSkip val="1"/>
        <c:noMultiLvlLbl val="0"/>
      </c:catAx>
      <c:valAx>
        <c:axId val="-348315584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6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2004.gada decembrī
(% pret 2003.gada decembri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"/>
      <c:hPercent val="500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3399FF"/>
                </a:gs>
                <a:gs pos="8000">
                  <a:srgbClr val="00CCCC"/>
                </a:gs>
                <a:gs pos="23500">
                  <a:srgbClr val="9999FF"/>
                </a:gs>
                <a:gs pos="30000">
                  <a:srgbClr val="2E6792"/>
                </a:gs>
                <a:gs pos="35501">
                  <a:srgbClr val="3333CC"/>
                </a:gs>
                <a:gs pos="40500">
                  <a:srgbClr val="1170FF"/>
                </a:gs>
                <a:gs pos="50000">
                  <a:srgbClr val="006699"/>
                </a:gs>
                <a:gs pos="59500">
                  <a:srgbClr val="1170FF"/>
                </a:gs>
                <a:gs pos="64500">
                  <a:srgbClr val="3333CC"/>
                </a:gs>
                <a:gs pos="70000">
                  <a:srgbClr val="2E6792"/>
                </a:gs>
                <a:gs pos="76500">
                  <a:srgbClr val="9999FF"/>
                </a:gs>
                <a:gs pos="92000">
                  <a:srgbClr val="00CCCC"/>
                </a:gs>
                <a:gs pos="100000">
                  <a:srgbClr val="3399FF"/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8000">
                      <a:gamma/>
                      <a:tint val="66667"/>
                      <a:invGamma/>
                    </a:srgbClr>
                  </a:gs>
                  <a:gs pos="100000">
                    <a:srgbClr val="008000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C5B-49AE-9AA6-CA2CDB197C8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C5B-49AE-9AA6-CA2CDB197C8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C5B-49AE-9AA6-CA2CDB197C8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C5B-49AE-9AA6-CA2CDB197C8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C5B-49AE-9AA6-CA2CDB197C84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C5B-49AE-9AA6-CA2CDB197C84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C5B-49AE-9AA6-CA2CDB197C84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C5B-49AE-9AA6-CA2CDB197C8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C5B-49AE-9AA6-CA2CDB197C8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C5B-49AE-9AA6-CA2CDB197C8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C5B-49AE-9AA6-CA2CDB197C8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C5B-49AE-9AA6-CA2CDB197C84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C5B-49AE-9AA6-CA2CDB197C84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C5B-49AE-9AA6-CA2CDB197C8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C5B-49AE-9AA6-CA2CDB197C8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C5B-49AE-9AA6-CA2CDB197C84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C5B-49AE-9AA6-CA2CDB197C84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C5B-49AE-9AA6-CA2CDB197C84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C5B-49AE-9AA6-CA2CDB197C84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C5B-49AE-9AA6-CA2CDB197C84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C5B-49AE-9AA6-CA2CDB197C84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C5B-49AE-9AA6-CA2CDB197C84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C5B-49AE-9AA6-CA2CDB197C84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C5B-49AE-9AA6-CA2CDB197C84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BC5B-49AE-9AA6-CA2CDB197C84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BC5B-49AE-9AA6-CA2CDB197C84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BC5B-49AE-9AA6-CA2CDB197C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48FCC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B-BC5B-49AE-9AA6-CA2CDB19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8316128"/>
        <c:axId val="-348318304"/>
        <c:axId val="0"/>
      </c:bar3DChart>
      <c:catAx>
        <c:axId val="-348316128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8304"/>
        <c:scaling>
          <c:orientation val="minMax"/>
          <c:max val="55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61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tint val="5764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A-42A9-AB0D-E2A673FD2B6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4A-42A9-AB0D-E2A673FD2B6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4A-42A9-AB0D-E2A673FD2B6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4A-42A9-AB0D-E2A673FD2B60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4A-42A9-AB0D-E2A673FD2B6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4A-42A9-AB0D-E2A673FD2B60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4A-42A9-AB0D-E2A673FD2B60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4A-42A9-AB0D-E2A673FD2B60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4A-42A9-AB0D-E2A673FD2B60}"/>
                </c:ext>
              </c:extLst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4A-42A9-AB0D-E2A673FD2B6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E34A-42A9-AB0D-E2A673FD2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Svarīgāko rūpniecības produkcijas veidu ražošanas pārmaiņas Liepājā 2004.gadā
(% pret 2003.gadu)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9933"/>
                </a:gs>
                <a:gs pos="100000">
                  <a:srgbClr val="999933">
                    <a:gamma/>
                    <a:shade val="84706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519-49CF-8F2A-0438E1BF2CD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19-49CF-8F2A-0438E1BF2CD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519-49CF-8F2A-0438E1BF2CD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519-49CF-8F2A-0438E1BF2CD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519-49CF-8F2A-0438E1BF2CD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519-49CF-8F2A-0438E1BF2CD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519-49CF-8F2A-0438E1BF2CD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519-49CF-8F2A-0438E1BF2CD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519-49CF-8F2A-0438E1BF2CD7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519-49CF-8F2A-0438E1BF2CD7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519-49CF-8F2A-0438E1BF2CD7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519-49CF-8F2A-0438E1BF2CD7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519-49CF-8F2A-0438E1BF2CD7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519-49CF-8F2A-0438E1BF2CD7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519-49CF-8F2A-0438E1BF2CD7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519-49CF-8F2A-0438E1BF2CD7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519-49CF-8F2A-0438E1BF2CD7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519-49CF-8F2A-0438E1BF2CD7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519-49CF-8F2A-0438E1BF2CD7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519-49CF-8F2A-0438E1BF2CD7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519-49CF-8F2A-0438E1BF2CD7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519-49CF-8F2A-0438E1BF2CD7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519-49CF-8F2A-0438E1BF2CD7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519-49CF-8F2A-0438E1BF2CD7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3519-49CF-8F2A-0438E1BF2CD7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3519-49CF-8F2A-0438E1BF2CD7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3519-49CF-8F2A-0438E1BF2CD7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3519-49CF-8F2A-0438E1BF2CD7}"/>
                </c:ext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3519-49CF-8F2A-0438E1BF2CD7}"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3519-49CF-8F2A-0438E1BF2CD7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3519-49CF-8F2A-0438E1BF2CD7}"/>
                </c:ext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3519-49CF-8F2A-0438E1BF2CD7}"/>
                </c:ext>
              </c:extLst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3519-49CF-8F2A-0438E1BF2CD7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3519-49CF-8F2A-0438E1BF2CD7}"/>
                </c:ext>
              </c:extLst>
            </c:dLbl>
            <c:dLbl>
              <c:idx val="3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3519-49CF-8F2A-0438E1BF2CD7}"/>
                </c:ext>
              </c:extLst>
            </c:dLbl>
            <c:dLbl>
              <c:idx val="3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3519-49CF-8F2A-0438E1BF2CD7}"/>
                </c:ext>
              </c:extLst>
            </c:dLbl>
            <c:dLbl>
              <c:idx val="3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3519-49CF-8F2A-0438E1BF2CD7}"/>
                </c:ext>
              </c:extLst>
            </c:dLbl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3519-49CF-8F2A-0438E1BF2C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48FCC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3519-49CF-8F2A-0438E1BF2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8318848"/>
        <c:axId val="-348314496"/>
        <c:axId val="0"/>
      </c:bar3DChart>
      <c:catAx>
        <c:axId val="-348318848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4496"/>
        <c:scaling>
          <c:orientation val="minMax"/>
          <c:max val="260"/>
          <c:min val="-90"/>
        </c:scaling>
        <c:delete val="0"/>
        <c:axPos val="b"/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8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EF-4F0C-8C36-E6D7896E95E7}"/>
            </c:ext>
          </c:extLst>
        </c:ser>
        <c:ser>
          <c:idx val="2"/>
          <c:order val="1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EF-4F0C-8C36-E6D7896E95E7}"/>
            </c:ext>
          </c:extLst>
        </c:ser>
        <c:ser>
          <c:idx val="3"/>
          <c:order val="2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BEF-4F0C-8C36-E6D7896E95E7}"/>
            </c:ext>
          </c:extLst>
        </c:ser>
        <c:ser>
          <c:idx val="4"/>
          <c:order val="3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BEF-4F0C-8C36-E6D7896E95E7}"/>
            </c:ext>
          </c:extLst>
        </c:ser>
        <c:ser>
          <c:idx val="5"/>
          <c:order val="4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BEF-4F0C-8C36-E6D7896E95E7}"/>
            </c:ext>
          </c:extLst>
        </c:ser>
        <c:ser>
          <c:idx val="6"/>
          <c:order val="5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BEF-4F0C-8C36-E6D7896E95E7}"/>
            </c:ext>
          </c:extLst>
        </c:ser>
        <c:ser>
          <c:idx val="7"/>
          <c:order val="6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BEF-4F0C-8C36-E6D7896E95E7}"/>
            </c:ext>
          </c:extLst>
        </c:ser>
        <c:ser>
          <c:idx val="0"/>
          <c:order val="7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BEF-4F0C-8C36-E6D7896E9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8317760"/>
        <c:axId val="-348317216"/>
      </c:lineChart>
      <c:catAx>
        <c:axId val="-3483177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483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7216"/>
        <c:scaling>
          <c:orientation val="minMax"/>
          <c:max val="1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831776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54-4BEB-8CFA-6E29D3FAD7AD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254-4BEB-8CFA-6E29D3FAD7AD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54-4BEB-8CFA-6E29D3FAD7AD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254-4BEB-8CFA-6E29D3FAD7AD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254-4BEB-8CFA-6E29D3FAD7AD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254-4BEB-8CFA-6E29D3FAD7AD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254-4BEB-8CFA-6E29D3FAD7AD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254-4BEB-8CFA-6E29D3FAD7AD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254-4BEB-8CFA-6E29D3FA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8315040"/>
        <c:axId val="-348313408"/>
      </c:lineChart>
      <c:catAx>
        <c:axId val="-348315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4831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3408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8315040"/>
        <c:crosses val="autoZero"/>
        <c:crossBetween val="between"/>
        <c:majorUnit val="4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31-4D93-95D6-7C0AA8A88D24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431-4D93-95D6-7C0AA8A88D24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431-4D93-95D6-7C0AA8A88D24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431-4D93-95D6-7C0AA8A88D24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431-4D93-95D6-7C0AA8A88D24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431-4D93-95D6-7C0AA8A88D24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431-4D93-95D6-7C0AA8A88D24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431-4D93-95D6-7C0AA8A88D24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431-4D93-95D6-7C0AA8A88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8312320"/>
        <c:axId val="-348319392"/>
      </c:lineChart>
      <c:catAx>
        <c:axId val="-3483123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4831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9392"/>
        <c:scaling>
          <c:orientation val="minMax"/>
          <c:max val="320"/>
          <c:min val="4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8312320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B3-470A-917B-7CE70A3D1AA6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B3-470A-917B-7CE70A3D1AA6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B3-470A-917B-7CE70A3D1AA6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B3-470A-917B-7CE70A3D1AA6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1B3-470A-917B-7CE70A3D1AA6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1B3-470A-917B-7CE70A3D1AA6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1B3-470A-917B-7CE70A3D1AA6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1B3-470A-917B-7CE70A3D1AA6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1B3-470A-917B-7CE70A3D1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351088"/>
        <c:axId val="-419351632"/>
      </c:lineChart>
      <c:catAx>
        <c:axId val="-4193510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935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9351632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51088"/>
        <c:crosses val="autoZero"/>
        <c:crossBetween val="between"/>
        <c:majorUnit val="2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2004.gadā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ienemumi!#REF!</c:v>
          </c:tx>
          <c:spPr>
            <a:gradFill rotWithShape="0">
              <a:gsLst>
                <a:gs pos="0">
                  <a:srgbClr val="993366">
                    <a:gamma/>
                    <a:tint val="48627"/>
                    <a:invGamma/>
                  </a:srgbClr>
                </a:gs>
                <a:gs pos="100000">
                  <a:srgbClr val="99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142-4246-AE24-71C0B09307AF}"/>
            </c:ext>
          </c:extLst>
        </c:ser>
        <c:ser>
          <c:idx val="0"/>
          <c:order val="1"/>
          <c:tx>
            <c:v>ienemumi!#REF!</c:v>
          </c:tx>
          <c:spPr>
            <a:gradFill rotWithShape="0">
              <a:gsLst>
                <a:gs pos="0">
                  <a:srgbClr val="999933"/>
                </a:gs>
                <a:gs pos="100000">
                  <a:srgbClr val="999933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142-4246-AE24-71C0B093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924016"/>
        <c:axId val="-36919120"/>
      </c:barChart>
      <c:catAx>
        <c:axId val="-369240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919120"/>
        <c:crosses val="autoZero"/>
        <c:auto val="1"/>
        <c:lblAlgn val="ctr"/>
        <c:lblOffset val="100"/>
        <c:tickMarkSkip val="1"/>
        <c:noMultiLvlLbl val="0"/>
      </c:catAx>
      <c:valAx>
        <c:axId val="-36919120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924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vietējā tirgū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74-464A-A92F-4331F33AC5FB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74-464A-A92F-4331F33AC5FB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574-464A-A92F-4331F33AC5FB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574-464A-A92F-4331F33AC5FB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574-464A-A92F-4331F33AC5FB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574-464A-A92F-4331F33AC5FB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574-464A-A92F-4331F33AC5FB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574-464A-A92F-4331F33AC5FB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574-464A-A92F-4331F33AC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350544"/>
        <c:axId val="-419347280"/>
      </c:lineChart>
      <c:catAx>
        <c:axId val="-4193505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934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9347280"/>
        <c:scaling>
          <c:orientation val="minMax"/>
          <c:max val="15800"/>
          <c:min val="12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50544"/>
        <c:crosses val="autoZero"/>
        <c:crossBetween val="between"/>
        <c:majorUnit val="146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eksportam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64-4E38-A7CC-1F1EA0F60DD3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64-4E38-A7CC-1F1EA0F60DD3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64-4E38-A7CC-1F1EA0F60DD3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64-4E38-A7CC-1F1EA0F60DD3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064-4E38-A7CC-1F1EA0F60DD3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064-4E38-A7CC-1F1EA0F60DD3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064-4E38-A7CC-1F1EA0F60DD3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064-4E38-A7CC-1F1EA0F60DD3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064-4E38-A7CC-1F1EA0F60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348368"/>
        <c:axId val="-419347824"/>
      </c:lineChart>
      <c:catAx>
        <c:axId val="-419348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934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9347824"/>
        <c:scaling>
          <c:orientation val="minMax"/>
          <c:max val="23000"/>
          <c:min val="15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48368"/>
        <c:crosses val="autoZero"/>
        <c:crossBetween val="between"/>
        <c:majorUnit val="21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Kaitīgo vielu izplūde atmosfērā no stacionāriem avotiem (vidēji uz 1 hektāru pilsētas zemju; tonnās)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24-4C2C-94D1-D241A7686C19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24-4C2C-94D1-D241A7686C19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B24-4C2C-94D1-D241A7686C19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B24-4C2C-94D1-D241A7686C19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B24-4C2C-94D1-D241A7686C19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B24-4C2C-94D1-D241A7686C19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B24-4C2C-94D1-D241A768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346192"/>
        <c:axId val="-419345648"/>
      </c:lineChart>
      <c:catAx>
        <c:axId val="-4193461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934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9345648"/>
        <c:scaling>
          <c:orientation val="minMax"/>
          <c:max val="1.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46192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transportlīdzekļu skaits perioda beigās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solidFill>
              <a:srgbClr val="3366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A6-42AB-8A0E-ADCBA127A165}"/>
            </c:ext>
          </c:extLst>
        </c:ser>
        <c:ser>
          <c:idx val="1"/>
          <c:order val="1"/>
          <c:tx>
            <c:v>ienemumi!#REF!</c:v>
          </c:tx>
          <c:spPr>
            <a:noFill/>
            <a:ln w="25400">
              <a:solidFill>
                <a:srgbClr val="008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A6-42AB-8A0E-ADCBA127A165}"/>
            </c:ext>
          </c:extLst>
        </c:ser>
        <c:ser>
          <c:idx val="2"/>
          <c:order val="2"/>
          <c:tx>
            <c:v>ienemumi!#REF!</c:v>
          </c:tx>
          <c:spPr>
            <a:solidFill>
              <a:srgbClr val="996633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5A6-42AB-8A0E-ADCBA127A16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5A6-42AB-8A0E-ADCBA127A1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5A6-42AB-8A0E-ADCBA127A1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5A6-42AB-8A0E-ADCBA127A1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5A6-42AB-8A0E-ADCBA127A1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5A6-42AB-8A0E-ADCBA127A1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5A6-42AB-8A0E-ADCBA127A1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5A6-42AB-8A0E-ADCBA127A1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5A6-42AB-8A0E-ADCBA127A1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75A6-42AB-8A0E-ADCBA127A165}"/>
            </c:ext>
          </c:extLst>
        </c:ser>
        <c:ser>
          <c:idx val="3"/>
          <c:order val="3"/>
          <c:tx>
            <c:v>ienemumi!#REF!</c:v>
          </c:tx>
          <c:spPr>
            <a:noFill/>
            <a:ln w="25400">
              <a:solidFill>
                <a:srgbClr val="996633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75A6-42AB-8A0E-ADCBA127A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9345104"/>
        <c:axId val="-345437584"/>
      </c:barChart>
      <c:catAx>
        <c:axId val="-419345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7584"/>
        <c:crosses val="autoZero"/>
        <c:auto val="1"/>
        <c:lblAlgn val="ctr"/>
        <c:lblOffset val="100"/>
        <c:tickMarkSkip val="1"/>
        <c:noMultiLvlLbl val="0"/>
      </c:catAx>
      <c:valAx>
        <c:axId val="-345437584"/>
        <c:scaling>
          <c:orientation val="minMax"/>
          <c:min val="-1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45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Līdz 2005.gada 1.janvārim reģistrēto transportlīdzekļu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2E-47CB-AF82-948F8C51ACB3}"/>
            </c:ext>
          </c:extLst>
        </c:ser>
        <c:ser>
          <c:idx val="1"/>
          <c:order val="1"/>
          <c:tx>
            <c:v>ienemumi!#REF!</c:v>
          </c:tx>
          <c:spPr>
            <a:noFill/>
            <a:ln w="25400">
              <a:solidFill>
                <a:srgbClr val="A6CAF0"/>
              </a:solidFill>
              <a:prstDash val="solid"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2E-47CB-AF82-948F8C51ACB3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CC99FF">
                    <a:gamma/>
                    <a:tint val="39216"/>
                    <a:invGamma/>
                  </a:srgbClr>
                </a:gs>
                <a:gs pos="100000">
                  <a:srgbClr val="CC99FF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32E-47CB-AF82-948F8C51AC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32E-47CB-AF82-948F8C51AC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32E-47CB-AF82-948F8C51ACB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32E-47CB-AF82-948F8C51AC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79.4%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32E-47CB-AF82-948F8C51AC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32E-47CB-AF82-948F8C51AC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32E-47CB-AF82-948F8C51ACB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32E-47CB-AF82-948F8C51ACB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32E-47CB-AF82-948F8C51AC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D32E-47CB-AF82-948F8C51ACB3}"/>
            </c:ext>
          </c:extLst>
        </c:ser>
        <c:ser>
          <c:idx val="3"/>
          <c:order val="3"/>
          <c:tx>
            <c:v>ienemumi!#REF!</c:v>
          </c:tx>
          <c:spPr>
            <a:noFill/>
            <a:ln w="25400">
              <a:solidFill>
                <a:srgbClr val="CC99FF"/>
              </a:solidFill>
              <a:prstDash val="solid"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D32E-47CB-AF82-948F8C51A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434320"/>
        <c:axId val="-345432688"/>
      </c:barChart>
      <c:catAx>
        <c:axId val="-3454343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2688"/>
        <c:crosses val="autoZero"/>
        <c:auto val="1"/>
        <c:lblAlgn val="ctr"/>
        <c:lblOffset val="100"/>
        <c:tickMarkSkip val="1"/>
        <c:noMultiLvlLbl val="0"/>
      </c:catAx>
      <c:valAx>
        <c:axId val="-34543268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5434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ar jūras transportu un pa dzelzceļu (milj.t),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FF0F70">
                    <a:gamma/>
                    <a:tint val="51373"/>
                    <a:invGamma/>
                  </a:srgbClr>
                </a:gs>
                <a:gs pos="100000">
                  <a:srgbClr val="FF0F7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F8-4697-976C-1B7BE75CA5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8-4697-976C-1B7BE75CA5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F8-4697-976C-1B7BE75CA5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8-4697-976C-1B7BE75CA5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F8-4697-976C-1B7BE75CA5F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8-4697-976C-1B7BE75CA5F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F8-4697-976C-1B7BE75CA5F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8-4697-976C-1B7BE75CA5F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F8-4697-976C-1B7BE75CA5FB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25.5% no 2004.gada kravu apgrozījuma                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FF8-4697-976C-1B7BE75CA5FB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BFF8-4697-976C-1B7BE75CA5FB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CCCC">
                    <a:gamma/>
                    <a:tint val="60784"/>
                    <a:invGamma/>
                  </a:srgbClr>
                </a:gs>
                <a:gs pos="100000">
                  <a:srgbClr val="33CC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BFF8-4697-976C-1B7BE75CA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439760"/>
        <c:axId val="-345436496"/>
      </c:barChart>
      <c:catAx>
        <c:axId val="-3454397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6496"/>
        <c:crosses val="autoZero"/>
        <c:auto val="1"/>
        <c:lblAlgn val="ctr"/>
        <c:lblOffset val="100"/>
        <c:tickMarkSkip val="1"/>
        <c:noMultiLvlLbl val="0"/>
      </c:catAx>
      <c:valAx>
        <c:axId val="-34543649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5439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pa dzelzceļu, milj.t,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336666">
                    <a:gamma/>
                    <a:tint val="48627"/>
                    <a:invGamma/>
                  </a:srgbClr>
                </a:gs>
                <a:gs pos="100000">
                  <a:srgbClr val="336666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3E1-44FC-B34B-7E0210C9D1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3E1-44FC-B34B-7E0210C9D1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3E1-44FC-B34B-7E0210C9D1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3E1-44FC-B34B-7E0210C9D15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3E1-44FC-B34B-7E0210C9D15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3E1-44FC-B34B-7E0210C9D15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3E1-44FC-B34B-7E0210C9D15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3E1-44FC-B34B-7E0210C9D15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3E1-44FC-B34B-7E0210C9D1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33E1-44FC-B34B-7E0210C9D153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69FFFF"/>
                </a:gs>
                <a:gs pos="100000">
                  <a:srgbClr val="69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33E1-44FC-B34B-7E0210C9D1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3E1-44FC-B34B-7E0210C9D1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33E1-44FC-B34B-7E0210C9D1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33E1-44FC-B34B-7E0210C9D15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33E1-44FC-B34B-7E0210C9D15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33E1-44FC-B34B-7E0210C9D15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40%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33E1-44FC-B34B-7E0210C9D15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33E1-44FC-B34B-7E0210C9D15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37%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33E1-44FC-B34B-7E0210C9D1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33E1-44FC-B34B-7E0210C9D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435408"/>
        <c:axId val="-345438672"/>
      </c:barChart>
      <c:catAx>
        <c:axId val="-3454354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8672"/>
        <c:crosses val="autoZero"/>
        <c:auto val="1"/>
        <c:lblAlgn val="ctr"/>
        <c:lblOffset val="100"/>
        <c:tickMarkSkip val="1"/>
        <c:noMultiLvlLbl val="0"/>
      </c:catAx>
      <c:valAx>
        <c:axId val="-3454386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345435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dzelzceļa kravu apgrozījums Liepājas ostā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ienemumi!#REF!</c:v>
          </c:tx>
          <c:spPr>
            <a:gradFill rotWithShape="0">
              <a:gsLst>
                <a:gs pos="0">
                  <a:srgbClr val="FF0000">
                    <a:gamma/>
                    <a:tint val="60784"/>
                    <a:invGamma/>
                  </a:srgbClr>
                </a:gs>
                <a:gs pos="100000">
                  <a:srgbClr val="FF0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AC-48D5-83EC-FAB3043F739B}"/>
            </c:ext>
          </c:extLst>
        </c:ser>
        <c:ser>
          <c:idx val="2"/>
          <c:order val="1"/>
          <c:tx>
            <c:v>ienemumi!#REF!</c:v>
          </c:tx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AC-48D5-83EC-FAB3043F739B}"/>
            </c:ext>
          </c:extLst>
        </c:ser>
        <c:ser>
          <c:idx val="3"/>
          <c:order val="2"/>
          <c:tx>
            <c:v>ienemumi!#REF!</c:v>
          </c:tx>
          <c:spPr>
            <a:gradFill rotWithShape="0">
              <a:gsLst>
                <a:gs pos="0">
                  <a:srgbClr val="C0C0C0">
                    <a:gamma/>
                    <a:tint val="54510"/>
                    <a:invGamma/>
                  </a:srgbClr>
                </a:gs>
                <a:gs pos="100000">
                  <a:srgbClr val="C0C0C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0AC-48D5-83EC-FAB3043F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433776"/>
        <c:axId val="-345433232"/>
      </c:barChart>
      <c:catAx>
        <c:axId val="-3454337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3232"/>
        <c:crosses val="autoZero"/>
        <c:auto val="1"/>
        <c:lblAlgn val="ctr"/>
        <c:lblOffset val="100"/>
        <c:tickMarkSkip val="1"/>
        <c:noMultiLvlLbl val="0"/>
      </c:catAx>
      <c:valAx>
        <c:axId val="-345433232"/>
        <c:scaling>
          <c:orientation val="minMax"/>
          <c:max val="22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5433776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Liepājas ostā pa kravu veidiem, % 2004.gadā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4FA-44ED-A8DA-05E33D69EA8D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A-44ED-A8DA-05E33D69EA8D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FA-44ED-A8DA-05E33D69EA8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FA-44ED-A8DA-05E33D69EA8D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FA-44ED-A8DA-05E33D69EA8D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A-44ED-A8DA-05E33D69EA8D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A-44ED-A8DA-05E33D69EA8D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A-44ED-A8DA-05E33D69EA8D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FA-44ED-A8DA-05E33D69EA8D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FA-44ED-A8DA-05E33D69EA8D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FA-44ED-A8DA-05E33D69EA8D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FA-44ED-A8DA-05E33D69EA8D}"/>
                </c:ext>
              </c:extLst>
            </c:dLbl>
            <c:dLbl>
              <c:idx val="1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FA-44ED-A8DA-05E33D69EA8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969696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C4FA-44ED-A8DA-05E33D69E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2003.gadā pa kravu veidiem,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996633"/>
                </a:gs>
                <a:gs pos="100000">
                  <a:srgbClr val="996633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0AA-4463-A215-9CB92A01117A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6666"/>
                </a:gs>
                <a:gs pos="100000">
                  <a:srgbClr val="336666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AA-4463-A215-9CB92A01117A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6078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AA-4463-A215-9CB92A011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50966160"/>
        <c:axId val="-150965616"/>
      </c:barChart>
      <c:catAx>
        <c:axId val="-1509661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5616"/>
        <c:crosses val="autoZero"/>
        <c:auto val="1"/>
        <c:lblAlgn val="ctr"/>
        <c:lblOffset val="100"/>
        <c:tickMarkSkip val="1"/>
        <c:noMultiLvlLbl val="0"/>
      </c:catAx>
      <c:valAx>
        <c:axId val="-150965616"/>
        <c:scaling>
          <c:orientation val="minMax"/>
          <c:max val="65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150966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(% pret 1995.gadu)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008000">
                    <a:gamma/>
                    <a:tint val="3019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E5E-4047-915F-7B16A1B0A27E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81.0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E5E-4047-915F-7B16A1B0A27E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E5E-4047-915F-7B16A1B0A27E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100.1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E5E-4047-915F-7B16A1B0A27E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104.3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E5E-4047-915F-7B16A1B0A27E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119.9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E5E-4047-915F-7B16A1B0A27E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127.8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E5E-4047-915F-7B16A1B0A27E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E5E-4047-915F-7B16A1B0A27E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E5E-4047-915F-7B16A1B0A27E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243.1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E5E-4047-915F-7B16A1B0A27E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0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E5E-4047-915F-7B16A1B0A27E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1164.5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E5E-4047-915F-7B16A1B0A27E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1308.4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2E5E-4047-915F-7B16A1B0A27E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1462.6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2E5E-4047-915F-7B16A1B0A27E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1637.4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2E5E-4047-915F-7B16A1B0A27E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1485.1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2E5E-4047-915F-7B16A1B0A27E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1583.5milj.ls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2E5E-4047-915F-7B16A1B0A27E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1795.0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2E5E-4047-915F-7B16A1B0A27E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1983.3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2E5E-4047-915F-7B16A1B0A27E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2235.6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2E5E-4047-915F-7B16A1B0A27E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2710.8 milj.Ls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2E5E-4047-915F-7B16A1B0A27E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2E5E-4047-915F-7B16A1B0A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918576"/>
        <c:axId val="-36920752"/>
      </c:barChart>
      <c:catAx>
        <c:axId val="-369185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92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920752"/>
        <c:scaling>
          <c:orientation val="minMax"/>
          <c:max val="4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918576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apgrozījums Liepājas ostā, milj.t.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800080">
                    <a:gamma/>
                    <a:tint val="51373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EC-458C-AA54-24E1B9D2AD31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69FFFF"/>
                </a:gs>
                <a:gs pos="100000">
                  <a:srgbClr val="69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AEC-458C-AA54-24E1B9D2AD31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FF8080">
                    <a:gamma/>
                    <a:tint val="69804"/>
                    <a:invGamma/>
                  </a:srgbClr>
                </a:gs>
                <a:gs pos="100000">
                  <a:srgbClr val="FF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AEC-458C-AA54-24E1B9D2A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962352"/>
        <c:axId val="-150962896"/>
      </c:barChart>
      <c:catAx>
        <c:axId val="-1509623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2896"/>
        <c:crosses val="autoZero"/>
        <c:auto val="1"/>
        <c:lblAlgn val="ctr"/>
        <c:lblOffset val="100"/>
        <c:tickMarkSkip val="1"/>
        <c:noMultiLvlLbl val="0"/>
      </c:catAx>
      <c:valAx>
        <c:axId val="-150962896"/>
        <c:scaling>
          <c:orientation val="minMax"/>
          <c:max val="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15096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2005.gada 1.ceturksnī,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pattFill prst="pct50">
              <a:fgClr>
                <a:srgbClr val="FFFFFF"/>
              </a:fgClr>
              <a:bgClr>
                <a:srgbClr val="FF0F70"/>
              </a:bgClr>
            </a:pattFill>
            <a:ln w="3175">
              <a:solidFill>
                <a:srgbClr val="FF0F7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93.3%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9CB-406B-B869-C24875A071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89.6%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9CB-406B-B869-C24875A071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98.7%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9CB-406B-B869-C24875A071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9CB-406B-B869-C24875A071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9CB-406B-B869-C24875A071B9}"/>
            </c:ext>
          </c:extLst>
        </c:ser>
        <c:ser>
          <c:idx val="1"/>
          <c:order val="1"/>
          <c:tx>
            <c:v>ienemumi!#REF!</c:v>
          </c:tx>
          <c:spPr>
            <a:pattFill prst="pct50">
              <a:fgClr>
                <a:srgbClr val="FFFFFF"/>
              </a:fgClr>
              <a:bgClr>
                <a:srgbClr val="33CCCC"/>
              </a:bgClr>
            </a:pattFill>
            <a:ln w="3175">
              <a:solidFill>
                <a:srgbClr val="33CCCC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9CB-406B-B869-C24875A071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9CB-406B-B869-C24875A071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9CB-406B-B869-C24875A071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9CB-406B-B869-C24875A071B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9CB-406B-B869-C24875A071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9CB-406B-B869-C24875A071B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9CB-406B-B869-C24875A071B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E9CB-406B-B869-C24875A071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E9CB-406B-B869-C24875A07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965072"/>
        <c:axId val="-150963440"/>
      </c:barChart>
      <c:catAx>
        <c:axId val="-1509650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3440"/>
        <c:crosses val="autoZero"/>
        <c:auto val="1"/>
        <c:lblAlgn val="ctr"/>
        <c:lblOffset val="100"/>
        <c:tickMarkSkip val="1"/>
        <c:noMultiLvlLbl val="0"/>
      </c:catAx>
      <c:valAx>
        <c:axId val="-150963440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965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Liepājas pilsētā, milj.cilv.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FFFF00"/>
                </a:gs>
                <a:gs pos="100000">
                  <a:srgbClr val="FFFF00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F1-4F68-8D15-566CD7022E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F1-4F68-8D15-566CD7022E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F1-4F68-8D15-566CD7022E9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F1-4F68-8D15-566CD7022E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F1-4F68-8D15-566CD7022E9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F1-4F68-8D15-566CD7022E9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F1-4F68-8D15-566CD7022E9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F1-4F68-8D15-566CD7022E97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15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25.4% no 2004.gada pasažieru apgrozījuma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1F1-4F68-8D15-566CD7022E97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1F1-4F68-8D15-566CD7022E97}"/>
            </c:ext>
          </c:extLst>
        </c:ser>
        <c:ser>
          <c:idx val="1"/>
          <c:order val="1"/>
          <c:tx>
            <c:v>ienemumi!#REF!</c:v>
          </c:tx>
          <c:spPr>
            <a:noFill/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1F1-4F68-8D15-566CD7022E97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21F1-4F68-8D15-566CD7022E97}"/>
            </c:ext>
          </c:extLst>
        </c:ser>
        <c:ser>
          <c:idx val="3"/>
          <c:order val="3"/>
          <c:tx>
            <c:v>ienemumi!#REF!</c:v>
          </c:tx>
          <c:spPr>
            <a:solidFill>
              <a:srgbClr val="339933"/>
            </a:soli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21F1-4F68-8D15-566CD7022E97}"/>
            </c:ext>
          </c:extLst>
        </c:ser>
        <c:ser>
          <c:idx val="4"/>
          <c:order val="4"/>
          <c:tx>
            <c:v>ienemumi!#REF!</c:v>
          </c:tx>
          <c:spPr>
            <a:solidFill>
              <a:srgbClr val="996633"/>
            </a:soli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21F1-4F68-8D15-566CD702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959632"/>
        <c:axId val="-150964528"/>
      </c:barChart>
      <c:catAx>
        <c:axId val="-1509596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4528"/>
        <c:crosses val="autoZero"/>
        <c:auto val="1"/>
        <c:lblAlgn val="ctr"/>
        <c:lblOffset val="100"/>
        <c:tickMarkSkip val="1"/>
        <c:noMultiLvlLbl val="0"/>
      </c:catAx>
      <c:valAx>
        <c:axId val="-150964528"/>
        <c:scaling>
          <c:orientation val="minMax"/>
          <c:max val="26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959632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Iebraukušie un izbraukušie pasažieri Liepājas ostā, tūkst.cilv.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2B-4307-AE88-8C9CB2092B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2B-4307-AE88-8C9CB2092B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2B-4307-AE88-8C9CB2092B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2B-4307-AE88-8C9CB2092B05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11.2% no 2003.gada pasažieru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92B-4307-AE88-8C9CB2092B05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14.5% no 2004.gada pasasžieru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92B-4307-AE88-8C9CB2092B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2B-4307-AE88-8C9CB2092B05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92B-4307-AE88-8C9CB2092B05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9933">
                    <a:gamma/>
                    <a:tint val="66667"/>
                    <a:invGamma/>
                  </a:srgbClr>
                </a:gs>
                <a:gs pos="100000">
                  <a:srgbClr val="339933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92B-4307-AE88-8C9CB2092B05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A6CAF0">
                    <a:gamma/>
                    <a:tint val="75686"/>
                    <a:invGamma/>
                  </a:srgbClr>
                </a:gs>
                <a:gs pos="100000">
                  <a:srgbClr val="A6CAF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E92B-4307-AE88-8C9CB2092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963984"/>
        <c:axId val="-150960176"/>
      </c:barChart>
      <c:catAx>
        <c:axId val="-1509639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0176"/>
        <c:crosses val="autoZero"/>
        <c:auto val="1"/>
        <c:lblAlgn val="ctr"/>
        <c:lblOffset val="100"/>
        <c:tickMarkSkip val="1"/>
        <c:noMultiLvlLbl val="0"/>
      </c:catAx>
      <c:valAx>
        <c:axId val="-150960176"/>
        <c:scaling>
          <c:orientation val="minMax"/>
          <c:max val="151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963984"/>
        <c:crosses val="autoZero"/>
        <c:crossBetween val="between"/>
        <c:majorUnit val="151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Latvijas ostās (% pret 2000.gadu)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FD-44FC-AA69-A2E9D843F170}"/>
            </c:ext>
          </c:extLst>
        </c:ser>
        <c:ser>
          <c:idx val="1"/>
          <c:order val="1"/>
          <c:tx>
            <c:v>ienemumi!#REF!</c:v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FD-44FC-AA69-A2E9D843F170}"/>
            </c:ext>
          </c:extLst>
        </c:ser>
        <c:ser>
          <c:idx val="2"/>
          <c:order val="2"/>
          <c:tx>
            <c:v>ienemumi!#REF!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DFD-44FC-AA69-A2E9D843F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596704"/>
        <c:axId val="-510591264"/>
      </c:lineChart>
      <c:catAx>
        <c:axId val="-5105967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10591264"/>
        <c:crosses val="autoZero"/>
        <c:auto val="1"/>
        <c:lblAlgn val="ctr"/>
        <c:lblOffset val="100"/>
        <c:tickMarkSkip val="1"/>
        <c:noMultiLvlLbl val="0"/>
      </c:catAx>
      <c:valAx>
        <c:axId val="-510591264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670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Pāvadāto pasažieru skaits pasažieri lidostā "Liepāja"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4B-4394-AC39-F32D250BB84E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99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4B-4394-AC39-F32D250BB84E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008000">
                    <a:gamma/>
                    <a:tint val="2117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4B-4394-AC39-F32D250BB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10592896"/>
        <c:axId val="-510592352"/>
      </c:barChart>
      <c:catAx>
        <c:axId val="-5105928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10592352"/>
        <c:crosses val="autoZero"/>
        <c:auto val="1"/>
        <c:lblAlgn val="ctr"/>
        <c:lblOffset val="100"/>
        <c:tickMarkSkip val="1"/>
        <c:noMultiLvlLbl val="0"/>
      </c:catAx>
      <c:valAx>
        <c:axId val="-510592352"/>
        <c:scaling>
          <c:orientation val="minMax"/>
          <c:max val="2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2896"/>
        <c:crosses val="autoZero"/>
        <c:crossBetween val="between"/>
        <c:majorUnit val="2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424242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Vieglo automobiļu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3E-4DEF-98F5-8F47CA8414D5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3E-4DEF-98F5-8F47CA8414D5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3E-4DEF-98F5-8F47CA8414D5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3E-4DEF-98F5-8F47CA8414D5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73E-4DEF-98F5-8F47CA8414D5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73E-4DEF-98F5-8F47CA8414D5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73E-4DEF-98F5-8F47CA8414D5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73E-4DEF-98F5-8F47CA841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591808"/>
        <c:axId val="-510593440"/>
      </c:lineChart>
      <c:catAx>
        <c:axId val="-5105918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5105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593440"/>
        <c:scaling>
          <c:orientation val="minMax"/>
          <c:max val="35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1808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un saņemtās kravas (kravu apgrozība),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65-4679-A457-8252F0DEBE1E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65-4679-A457-8252F0DEBE1E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665-4679-A457-8252F0DEBE1E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665-4679-A457-8252F0DEB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590176"/>
        <c:axId val="-510595616"/>
      </c:lineChart>
      <c:catAx>
        <c:axId val="-5105901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51059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595616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0176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0B-42E4-B077-E37050E98CF3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0B-42E4-B077-E37050E98CF3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90B-42E4-B077-E37050E98CF3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90B-42E4-B077-E37050E98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595072"/>
        <c:axId val="-219006864"/>
      </c:lineChart>
      <c:catAx>
        <c:axId val="-5105950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900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9006864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5072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saņemtās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1E-49A8-9A1A-DDB13B61EFF0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1E-49A8-9A1A-DDB13B61EFF0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11E-49A8-9A1A-DDB13B61EFF0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11E-49A8-9A1A-DDB13B61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9012304"/>
        <c:axId val="-219012848"/>
      </c:lineChart>
      <c:catAx>
        <c:axId val="-2190123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901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9012848"/>
        <c:scaling>
          <c:orientation val="minMax"/>
          <c:max val="3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901230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2004.gadā  (% pret 2003.gadu)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"/>
      <c:hPercent val="500"/>
      <c:rotY val="5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6633">
                    <a:gamma/>
                    <a:tint val="30196"/>
                    <a:invGamma/>
                  </a:srgbClr>
                </a:gs>
                <a:gs pos="100000">
                  <a:srgbClr val="996633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69-42A5-ADD1-58586B7DE3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D69-42A5-ADD1-58586B7DE3E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69-42A5-ADD1-58586B7DE3E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D69-42A5-ADD1-58586B7DE3E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D69-42A5-ADD1-58586B7DE3E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D69-42A5-ADD1-58586B7DE3E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D69-42A5-ADD1-58586B7DE3E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D69-42A5-ADD1-58586B7DE3E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D69-42A5-ADD1-58586B7DE3E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D69-42A5-ADD1-58586B7DE3E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D69-42A5-ADD1-58586B7DE3E1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D69-42A5-ADD1-58586B7DE3E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D69-42A5-ADD1-58586B7DE3E1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D69-42A5-ADD1-58586B7DE3E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D69-42A5-ADD1-58586B7DE3E1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D69-42A5-ADD1-58586B7DE3E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D69-42A5-ADD1-58586B7DE3E1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D69-42A5-ADD1-58586B7DE3E1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D69-42A5-ADD1-58586B7DE3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48FCC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BD69-42A5-ADD1-58586B7DE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1774768"/>
        <c:axId val="-341778032"/>
        <c:axId val="0"/>
      </c:bar3DChart>
      <c:catAx>
        <c:axId val="-341774768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177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1778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17747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Valsts sociālā nodrošinājuma pabalsta un pensiju saņēmēju skaits Liepājā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0080C0">
                    <a:gamma/>
                    <a:tint val="30196"/>
                    <a:invGamma/>
                  </a:srgbClr>
                </a:gs>
                <a:gs pos="100000">
                  <a:srgbClr val="0080C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FBD-473A-A9D6-8AB4D02285DC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802060">
                    <a:gamma/>
                    <a:tint val="33333"/>
                    <a:invGamma/>
                  </a:srgbClr>
                </a:gs>
                <a:gs pos="100000">
                  <a:srgbClr val="80206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FBD-473A-A9D6-8AB4D02285DC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008080">
                    <a:gamma/>
                    <a:tint val="45490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FBD-473A-A9D6-8AB4D02285DC}"/>
            </c:ext>
          </c:extLst>
        </c:ser>
        <c:ser>
          <c:idx val="3"/>
          <c:order val="3"/>
          <c:tx>
            <c:v>ienemumi!#REF!</c:v>
          </c:tx>
          <c:spPr>
            <a:gradFill rotWithShape="0">
              <a:gsLst>
                <a:gs pos="0">
                  <a:srgbClr val="008000">
                    <a:gamma/>
                    <a:tint val="48627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FBD-473A-A9D6-8AB4D02285DC}"/>
            </c:ext>
          </c:extLst>
        </c:ser>
        <c:ser>
          <c:idx val="4"/>
          <c:order val="4"/>
          <c:tx>
            <c:v>ienemumi!#REF!</c:v>
          </c:tx>
          <c:spPr>
            <a:gradFill rotWithShape="0">
              <a:gsLst>
                <a:gs pos="0">
                  <a:srgbClr val="600080">
                    <a:gamma/>
                    <a:tint val="39216"/>
                    <a:invGamma/>
                  </a:srgbClr>
                </a:gs>
                <a:gs pos="100000">
                  <a:srgbClr val="6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FBD-473A-A9D6-8AB4D02285DC}"/>
            </c:ext>
          </c:extLst>
        </c:ser>
        <c:ser>
          <c:idx val="5"/>
          <c:order val="5"/>
          <c:tx>
            <c:v>ienemumi!#REF!</c:v>
          </c:tx>
          <c:spPr>
            <a:gradFill rotWithShape="0">
              <a:gsLst>
                <a:gs pos="0">
                  <a:srgbClr val="FF8080">
                    <a:gamma/>
                    <a:tint val="30196"/>
                    <a:invGamma/>
                  </a:srgbClr>
                </a:gs>
                <a:gs pos="100000">
                  <a:srgbClr val="FF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FBD-473A-A9D6-8AB4D0228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9010128"/>
        <c:axId val="-219009584"/>
      </c:barChart>
      <c:catAx>
        <c:axId val="-2190101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9009584"/>
        <c:crosses val="autoZero"/>
        <c:auto val="1"/>
        <c:lblAlgn val="ctr"/>
        <c:lblOffset val="100"/>
        <c:tickMarkSkip val="1"/>
        <c:noMultiLvlLbl val="0"/>
      </c:catAx>
      <c:valAx>
        <c:axId val="-219009584"/>
        <c:scaling>
          <c:orientation val="minMax"/>
          <c:max val="2075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9010128"/>
        <c:crosses val="autoZero"/>
        <c:crossBetween val="between"/>
        <c:majorUnit val="207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Vidējā pensija un vidējais valsts sociālā nodrošinājuma pabalsts Liepājā, 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008080">
                    <a:gamma/>
                    <a:tint val="60784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F5-473B-A06E-B64F46AB3B56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996633"/>
                </a:gs>
                <a:gs pos="100000">
                  <a:srgbClr val="996633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F5-473B-A06E-B64F46AB3B56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FFFF00"/>
                </a:gs>
                <a:gs pos="100000">
                  <a:srgbClr val="FFFF00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0F5-473B-A06E-B64F46AB3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9009040"/>
        <c:axId val="-219008496"/>
      </c:barChart>
      <c:catAx>
        <c:axId val="-219009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9008496"/>
        <c:crosses val="autoZero"/>
        <c:auto val="1"/>
        <c:lblAlgn val="ctr"/>
        <c:lblOffset val="100"/>
        <c:tickMarkSkip val="1"/>
        <c:noMultiLvlLbl val="0"/>
      </c:catAx>
      <c:valAx>
        <c:axId val="-219008496"/>
        <c:scaling>
          <c:orientation val="minMax"/>
          <c:max val="1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219009040"/>
        <c:crosses val="autoZero"/>
        <c:crossBetween val="between"/>
        <c:majorUnit val="10"/>
        <c:minorUnit val="10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Vidējās pensijas un vidējā valsts sociālā nodrošinājuma pabalsta dinamika Liepājā
(% pret 2004.gada 1.pusgadu)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B2-4C17-9B7C-C8D312A56C5B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9B2-4C17-9B7C-C8D312A56C5B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9B2-4C17-9B7C-C8D312A56C5B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9B2-4C17-9B7C-C8D312A56C5B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C0C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C0FF"/>
              </a:solidFill>
              <a:ln>
                <a:solidFill>
                  <a:srgbClr val="C0C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9B2-4C17-9B7C-C8D312A56C5B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9B2-4C17-9B7C-C8D312A56C5B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9B2-4C17-9B7C-C8D312A56C5B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9999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9B2-4C17-9B7C-C8D312A5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9011760"/>
        <c:axId val="-219007952"/>
      </c:lineChart>
      <c:catAx>
        <c:axId val="-2190117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9007952"/>
        <c:crosses val="autoZero"/>
        <c:auto val="1"/>
        <c:lblAlgn val="ctr"/>
        <c:lblOffset val="100"/>
        <c:tickMarkSkip val="1"/>
        <c:noMultiLvlLbl val="0"/>
      </c:catAx>
      <c:valAx>
        <c:axId val="-219007952"/>
        <c:scaling>
          <c:orientation val="minMax"/>
          <c:max val="115"/>
          <c:min val="95"/>
        </c:scaling>
        <c:delete val="1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9011760"/>
        <c:crosses val="autoZero"/>
        <c:crossBetween val="between"/>
        <c:majorUnit val="4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Visu pensiju veidu saņēmēju skaita sadalījums pēc piešķirtās pensijas apmēra Liepājā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9D9-4910-BEEA-AD6F1FBE0553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800080">
                    <a:gamma/>
                    <a:tint val="36471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9D9-4910-BEEA-AD6F1FBE0553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9D9-4910-BEEA-AD6F1FBE0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07023296"/>
        <c:axId val="-507022752"/>
      </c:barChart>
      <c:catAx>
        <c:axId val="-50702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22752"/>
        <c:crosses val="autoZero"/>
        <c:auto val="1"/>
        <c:lblAlgn val="ctr"/>
        <c:lblOffset val="100"/>
        <c:tickMarkSkip val="1"/>
        <c:noMultiLvlLbl val="0"/>
      </c:catAx>
      <c:valAx>
        <c:axId val="-50702275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0702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Visu pensiju veidu saņēmēju skaita sadalījums pa vecuma grupām, Liepājas pilsēta 
2005.gada 1.pusgadā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25"/>
          <c:dPt>
            <c:idx val="0"/>
            <c:bubble3D val="0"/>
            <c:spPr>
              <a:solidFill>
                <a:srgbClr val="E3E3E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6B1-4ADE-BA7E-DE4E94D90ED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B1-4ADE-BA7E-DE4E94D90ED9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B1-4ADE-BA7E-DE4E94D90ED9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B1-4ADE-BA7E-DE4E94D90ED9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B1-4ADE-BA7E-DE4E94D90ED9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B1-4ADE-BA7E-DE4E94D90ED9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B1-4ADE-BA7E-DE4E94D90ED9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B1-4ADE-BA7E-DE4E94D90ED9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B1-4ADE-BA7E-DE4E94D90ED9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B1-4ADE-BA7E-DE4E94D90ED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B6B1-4ADE-BA7E-DE4E94D90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sng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Bruto darba samaksas fonds sadalījumā pa nozarēm Liepājā, 2023.gadā (%)</a:t>
            </a:r>
          </a:p>
        </c:rich>
      </c:tx>
      <c:layout>
        <c:manualLayout>
          <c:xMode val="edge"/>
          <c:yMode val="edge"/>
          <c:x val="0.38545505574179462"/>
          <c:y val="1.4383989993746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228970564347211"/>
          <c:y val="5.5659787367104439E-2"/>
          <c:w val="0.63523539630010017"/>
          <c:h val="0.934333958724202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ienemumi!$A$205</c:f>
              <c:strCache>
                <c:ptCount val="1"/>
                <c:pt idx="0">
                  <c:v>2023., %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noFill/>
              <a:prstDash val="solid"/>
            </a:ln>
            <a:scene3d>
              <a:camera prst="orthographicFront"/>
              <a:lightRig rig="threePt" dir="t"/>
            </a:scene3d>
            <a:sp3d prstMaterial="dkEdge"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3175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1-D504-43C4-9FFF-82AD173A7626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3175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3-D504-43C4-9FFF-82AD173A762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04-43C4-9FFF-82AD173A762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chemeClr val="tx1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ienemumi!$B$204:$P$204</c15:sqref>
                  </c15:fullRef>
                </c:ext>
              </c:extLst>
              <c:f>(ienemumi!$B$204:$M$204,ienemumi!$O$204:$P$204)</c:f>
              <c:strCache>
                <c:ptCount val="14"/>
                <c:pt idx="0">
                  <c:v>PAKALPOJUMU NOZARES KOPĀ: tai skaitā:</c:v>
                </c:pt>
                <c:pt idx="1">
                  <c:v>Tirdzniecība,auto, moto remonts</c:v>
                </c:pt>
                <c:pt idx="2">
                  <c:v>Izmitināšanas un ēdināšanas pak.</c:v>
                </c:pt>
                <c:pt idx="3">
                  <c:v>Transports, glabāšana </c:v>
                </c:pt>
                <c:pt idx="4">
                  <c:v>Operācijas ar nekustamo īpašumu, </c:v>
                </c:pt>
                <c:pt idx="5">
                  <c:v>Valsts pārvalde un aizsardzība</c:v>
                </c:pt>
                <c:pt idx="6">
                  <c:v>Izglītība</c:v>
                </c:pt>
                <c:pt idx="7">
                  <c:v>Veselība un sociālā aprūpe</c:v>
                </c:pt>
                <c:pt idx="8">
                  <c:v>Pārējie pakalpojumi</c:v>
                </c:pt>
                <c:pt idx="9">
                  <c:v>PREČU RAŽOŠANAS NOZARES KOPĀ: tai skaitā:</c:v>
                </c:pt>
                <c:pt idx="10">
                  <c:v>Zvejniecība, mežsaimniecība</c:v>
                </c:pt>
                <c:pt idx="11">
                  <c:v>Rūpniecība</c:v>
                </c:pt>
                <c:pt idx="12">
                  <c:v>Ūdens apgāde</c:v>
                </c:pt>
                <c:pt idx="13">
                  <c:v>Būvniecība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ienemumi!$B$205:$P$205</c15:sqref>
                  </c15:fullRef>
                </c:ext>
              </c:extLst>
              <c:f>(ienemumi!$B$205:$M$205,ienemumi!$O$205:$P$205)</c:f>
              <c:numCache>
                <c:formatCode>0.0</c:formatCode>
                <c:ptCount val="14"/>
                <c:pt idx="0">
                  <c:v>54.957152947298795</c:v>
                </c:pt>
                <c:pt idx="1">
                  <c:v>17.137185327312483</c:v>
                </c:pt>
                <c:pt idx="2">
                  <c:v>7.5632630598262374</c:v>
                </c:pt>
                <c:pt idx="3">
                  <c:v>17.00894905827511</c:v>
                </c:pt>
                <c:pt idx="4">
                  <c:v>3.4351152833134813</c:v>
                </c:pt>
                <c:pt idx="5">
                  <c:v>6.3682026715148456</c:v>
                </c:pt>
                <c:pt idx="6">
                  <c:v>18.080102339002</c:v>
                </c:pt>
                <c:pt idx="7">
                  <c:v>16.637934934797887</c:v>
                </c:pt>
                <c:pt idx="8">
                  <c:v>14.6</c:v>
                </c:pt>
                <c:pt idx="9">
                  <c:v>45.042847052701198</c:v>
                </c:pt>
                <c:pt idx="10">
                  <c:v>2.4067504767517311</c:v>
                </c:pt>
                <c:pt idx="11">
                  <c:v>54.39615384071557</c:v>
                </c:pt>
                <c:pt idx="12">
                  <c:v>1.8893064200217575</c:v>
                </c:pt>
                <c:pt idx="13">
                  <c:v>41.246783515065459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4-43C4-9FFF-82AD173A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07017856"/>
        <c:axId val="-507021664"/>
      </c:barChart>
      <c:catAx>
        <c:axId val="-507017856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2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7021664"/>
        <c:scaling>
          <c:orientation val="minMax"/>
          <c:max val="78"/>
          <c:min val="0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507017856"/>
        <c:crosses val="autoZero"/>
        <c:crossBetween val="between"/>
        <c:majorUnit val="7.8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Mēneša vidējā apdrošināšanas iemaksu alga un mēneša vidējā izmaksājamā vecuma pensija, (eiro/mēn.)</a:t>
            </a:r>
          </a:p>
        </c:rich>
      </c:tx>
      <c:layout>
        <c:manualLayout>
          <c:xMode val="edge"/>
          <c:yMode val="edge"/>
          <c:x val="0.18293556529963922"/>
          <c:y val="1.5310586176727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8058760328847"/>
          <c:y val="7.7887758412220939E-2"/>
          <c:w val="0.71118936244713993"/>
          <c:h val="0.66891456545459904"/>
        </c:manualLayout>
      </c:layout>
      <c:lineChart>
        <c:grouping val="standard"/>
        <c:varyColors val="0"/>
        <c:ser>
          <c:idx val="0"/>
          <c:order val="0"/>
          <c:tx>
            <c:strRef>
              <c:f>ienemumi!$C$2</c:f>
              <c:strCache>
                <c:ptCount val="1"/>
                <c:pt idx="0">
                  <c:v>Latvija, vidējā apdrošināšanas iemaksu alga, eiro/mēn.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ienemumi!$A$3:$A$28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ienemumi!$C$3:$C$28</c:f>
              <c:numCache>
                <c:formatCode>0</c:formatCode>
                <c:ptCount val="10"/>
                <c:pt idx="0">
                  <c:v>128.05846295695528</c:v>
                </c:pt>
                <c:pt idx="1">
                  <c:v>213.43077159492549</c:v>
                </c:pt>
                <c:pt idx="2">
                  <c:v>350.02646541567776</c:v>
                </c:pt>
                <c:pt idx="3">
                  <c:v>573.41733968503308</c:v>
                </c:pt>
                <c:pt idx="4" formatCode="General">
                  <c:v>693</c:v>
                </c:pt>
                <c:pt idx="5" formatCode="General">
                  <c:v>989</c:v>
                </c:pt>
                <c:pt idx="6" formatCode="General">
                  <c:v>1128</c:v>
                </c:pt>
                <c:pt idx="7" formatCode="General">
                  <c:v>1275</c:v>
                </c:pt>
                <c:pt idx="8" formatCode="General">
                  <c:v>1430</c:v>
                </c:pt>
                <c:pt idx="9" formatCode="General">
                  <c:v>1558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A37-40A8-9CAF-31DD9B84B30B}"/>
            </c:ext>
          </c:extLst>
        </c:ser>
        <c:ser>
          <c:idx val="1"/>
          <c:order val="1"/>
          <c:tx>
            <c:strRef>
              <c:f>ienemumi!$D$2</c:f>
              <c:strCache>
                <c:ptCount val="1"/>
                <c:pt idx="0">
                  <c:v>Liepāja, vidējā apdrošināšanas iemaksu alga, eiro/mēn.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ienemumi!$A$3:$A$28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ienemumi!$D$3:$D$28</c:f>
              <c:numCache>
                <c:formatCode>0</c:formatCode>
                <c:ptCount val="10"/>
                <c:pt idx="0">
                  <c:v>123.78984752505677</c:v>
                </c:pt>
                <c:pt idx="1">
                  <c:v>190.66482262480008</c:v>
                </c:pt>
                <c:pt idx="2">
                  <c:v>292.62781657474915</c:v>
                </c:pt>
                <c:pt idx="3">
                  <c:v>522.19395450225102</c:v>
                </c:pt>
                <c:pt idx="4" formatCode="General">
                  <c:v>624</c:v>
                </c:pt>
                <c:pt idx="5" formatCode="General">
                  <c:v>867</c:v>
                </c:pt>
                <c:pt idx="6" formatCode="General">
                  <c:v>982</c:v>
                </c:pt>
                <c:pt idx="7" formatCode="General">
                  <c:v>1103</c:v>
                </c:pt>
                <c:pt idx="8" formatCode="General">
                  <c:v>1232</c:v>
                </c:pt>
                <c:pt idx="9" formatCode="General">
                  <c:v>1342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37-40A8-9CAF-31DD9B84B30B}"/>
            </c:ext>
          </c:extLst>
        </c:ser>
        <c:ser>
          <c:idx val="2"/>
          <c:order val="2"/>
          <c:tx>
            <c:strRef>
              <c:f>ienemumi!$E$2</c:f>
              <c:strCache>
                <c:ptCount val="1"/>
                <c:pt idx="0">
                  <c:v>Liepāja, vidējā izmaksātā vecuma pensija, eiro/mēn.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ienemumi!$A$3:$A$28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ienemumi!$E$3:$E$28</c:f>
              <c:numCache>
                <c:formatCode>0</c:formatCode>
                <c:ptCount val="10"/>
                <c:pt idx="2">
                  <c:v>116.26285564680906</c:v>
                </c:pt>
                <c:pt idx="3">
                  <c:v>258.96266953517625</c:v>
                </c:pt>
                <c:pt idx="4">
                  <c:v>274.97000000000003</c:v>
                </c:pt>
                <c:pt idx="5" formatCode="General">
                  <c:v>368</c:v>
                </c:pt>
                <c:pt idx="6" formatCode="General">
                  <c:v>392</c:v>
                </c:pt>
                <c:pt idx="7" formatCode="General">
                  <c:v>450</c:v>
                </c:pt>
                <c:pt idx="8" formatCode="General">
                  <c:v>515</c:v>
                </c:pt>
                <c:pt idx="9" formatCode="General">
                  <c:v>550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A37-40A8-9CAF-31DD9B84B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7016768"/>
        <c:axId val="-507019488"/>
      </c:lineChart>
      <c:catAx>
        <c:axId val="-5070167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19488"/>
        <c:crosses val="autoZero"/>
        <c:auto val="1"/>
        <c:lblAlgn val="ctr"/>
        <c:lblOffset val="100"/>
        <c:tickMarkSkip val="1"/>
        <c:noMultiLvlLbl val="0"/>
      </c:catAx>
      <c:valAx>
        <c:axId val="-507019488"/>
        <c:scaling>
          <c:orientation val="minMax"/>
          <c:max val="1700"/>
          <c:min val="6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507016768"/>
        <c:crosses val="autoZero"/>
        <c:crossBetween val="between"/>
        <c:majorUnit val="164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Vidējā apdrošināšanas iemaksu alga un mēneša vidējā bruto darba samaksa Liepājā , (eiro/mēn.)</a:t>
            </a:r>
          </a:p>
        </c:rich>
      </c:tx>
      <c:layout>
        <c:manualLayout>
          <c:xMode val="edge"/>
          <c:yMode val="edge"/>
          <c:x val="0.32926376784504313"/>
          <c:y val="1.463355542095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681628075422321"/>
          <c:y val="0.10340965999939661"/>
          <c:w val="0.65137206368566114"/>
          <c:h val="0.63961233294114095"/>
        </c:manualLayout>
      </c:layout>
      <c:lineChart>
        <c:grouping val="standard"/>
        <c:varyColors val="0"/>
        <c:ser>
          <c:idx val="0"/>
          <c:order val="0"/>
          <c:tx>
            <c:strRef>
              <c:f>ienemumi!$B$38</c:f>
              <c:strCache>
                <c:ptCount val="1"/>
                <c:pt idx="0">
                  <c:v>Vidējā apdrošināšanas iemaksu alga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ienemumi!$A$41:$A$60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ienemumi!$B$41:$B$60</c:f>
              <c:numCache>
                <c:formatCode>0</c:formatCode>
                <c:ptCount val="8"/>
                <c:pt idx="0">
                  <c:v>292.62781657474915</c:v>
                </c:pt>
                <c:pt idx="1">
                  <c:v>522.19395450225102</c:v>
                </c:pt>
                <c:pt idx="2" formatCode="General">
                  <c:v>624</c:v>
                </c:pt>
                <c:pt idx="3" formatCode="General">
                  <c:v>867</c:v>
                </c:pt>
                <c:pt idx="4" formatCode="General">
                  <c:v>982</c:v>
                </c:pt>
                <c:pt idx="5" formatCode="General">
                  <c:v>1103</c:v>
                </c:pt>
                <c:pt idx="6" formatCode="General">
                  <c:v>1232</c:v>
                </c:pt>
                <c:pt idx="7" formatCode="General">
                  <c:v>1342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07-4571-B96A-8D90DAD0B288}"/>
            </c:ext>
          </c:extLst>
        </c:ser>
        <c:ser>
          <c:idx val="1"/>
          <c:order val="1"/>
          <c:tx>
            <c:strRef>
              <c:f>ienemumi!$C$38</c:f>
              <c:strCache>
                <c:ptCount val="1"/>
                <c:pt idx="0">
                  <c:v>Vidējā bruto darba samaksa sabiedriskajā sektorā,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ienemumi!$A$41:$A$60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ienemumi!$C$41:$C$60</c:f>
              <c:numCache>
                <c:formatCode>0</c:formatCode>
                <c:ptCount val="8"/>
                <c:pt idx="0">
                  <c:v>351.4493372263106</c:v>
                </c:pt>
                <c:pt idx="1">
                  <c:v>570.5715960637674</c:v>
                </c:pt>
                <c:pt idx="2" formatCode="General">
                  <c:v>725</c:v>
                </c:pt>
                <c:pt idx="3" formatCode="General">
                  <c:v>1038</c:v>
                </c:pt>
                <c:pt idx="4" formatCode="General">
                  <c:v>1152</c:v>
                </c:pt>
                <c:pt idx="5" formatCode="General">
                  <c:v>1221</c:v>
                </c:pt>
                <c:pt idx="6" formatCode="General">
                  <c:v>1366</c:v>
                </c:pt>
                <c:pt idx="7" formatCode="General">
                  <c:v>1541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407-4571-B96A-8D90DAD0B288}"/>
            </c:ext>
          </c:extLst>
        </c:ser>
        <c:ser>
          <c:idx val="2"/>
          <c:order val="2"/>
          <c:tx>
            <c:strRef>
              <c:f>ienemumi!$D$38</c:f>
              <c:strCache>
                <c:ptCount val="1"/>
                <c:pt idx="0">
                  <c:v>Vidējā bruto darba samaksa privātajā sektorā (ar nodarbināto skaitu virs 50)</c:v>
                </c:pt>
              </c:strCache>
            </c:strRef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ienemumi!$A$41:$A$60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ienemumi!$D$41:$D$60</c:f>
              <c:numCache>
                <c:formatCode>0</c:formatCode>
                <c:ptCount val="8"/>
                <c:pt idx="1">
                  <c:v>645.98380202730777</c:v>
                </c:pt>
                <c:pt idx="2" formatCode="General">
                  <c:v>890</c:v>
                </c:pt>
                <c:pt idx="3" formatCode="General">
                  <c:v>1245</c:v>
                </c:pt>
                <c:pt idx="4" formatCode="General">
                  <c:v>1389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07-4571-B96A-8D90DAD0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7022208"/>
        <c:axId val="-507018400"/>
      </c:lineChart>
      <c:catAx>
        <c:axId val="-5070222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18400"/>
        <c:crosses val="autoZero"/>
        <c:auto val="1"/>
        <c:lblAlgn val="ctr"/>
        <c:lblOffset val="100"/>
        <c:tickMarkSkip val="1"/>
        <c:noMultiLvlLbl val="0"/>
      </c:catAx>
      <c:valAx>
        <c:axId val="-507018400"/>
        <c:scaling>
          <c:orientation val="minMax"/>
          <c:max val="170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507022208"/>
        <c:crosses val="autoZero"/>
        <c:crossBetween val="between"/>
        <c:majorUnit val="16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Mēneša vidējā bruto darba samaksa sabiedriskajā sektorā, (eiro/mēn.)</a:t>
            </a:r>
          </a:p>
        </c:rich>
      </c:tx>
      <c:layout>
        <c:manualLayout>
          <c:xMode val="edge"/>
          <c:yMode val="edge"/>
          <c:x val="0.28206782975657457"/>
          <c:y val="1.6363710350159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33225258607379"/>
          <c:y val="7.9099912703003927E-2"/>
          <c:w val="0.86904354904354897"/>
          <c:h val="0.517773399531955"/>
        </c:manualLayout>
      </c:layout>
      <c:lineChart>
        <c:grouping val="standard"/>
        <c:varyColors val="0"/>
        <c:ser>
          <c:idx val="0"/>
          <c:order val="0"/>
          <c:tx>
            <c:strRef>
              <c:f>ienemumi!$B$365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ienemumi!$B$366:$B$389</c:f>
              <c:numCache>
                <c:formatCode>#\ ##0_ ;[Red]\-#\ ##0\ </c:formatCode>
                <c:ptCount val="13"/>
                <c:pt idx="0">
                  <c:v>256.08846847769792</c:v>
                </c:pt>
                <c:pt idx="1">
                  <c:v>405.51846603035841</c:v>
                </c:pt>
                <c:pt idx="2" formatCode="0">
                  <c:v>668.74975099743313</c:v>
                </c:pt>
                <c:pt idx="3" formatCode="General">
                  <c:v>855</c:v>
                </c:pt>
                <c:pt idx="4" formatCode="General">
                  <c:v>887</c:v>
                </c:pt>
                <c:pt idx="5" formatCode="General">
                  <c:v>951</c:v>
                </c:pt>
                <c:pt idx="6" formatCode="General">
                  <c:v>1032</c:v>
                </c:pt>
                <c:pt idx="7" formatCode="General">
                  <c:v>1103</c:v>
                </c:pt>
                <c:pt idx="8" formatCode="General">
                  <c:v>1156</c:v>
                </c:pt>
                <c:pt idx="9" formatCode="General">
                  <c:v>1293</c:v>
                </c:pt>
                <c:pt idx="10">
                  <c:v>1373</c:v>
                </c:pt>
                <c:pt idx="11">
                  <c:v>1553</c:v>
                </c:pt>
                <c:pt idx="12">
                  <c:v>1742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E1E-4111-B44C-D1EB6AAB765D}"/>
            </c:ext>
          </c:extLst>
        </c:ser>
        <c:ser>
          <c:idx val="1"/>
          <c:order val="1"/>
          <c:tx>
            <c:strRef>
              <c:f>ienemumi!$C$365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ienemumi!$C$366:$C$389</c:f>
              <c:numCache>
                <c:formatCode>#\ ##0_ ;[Red]\-#\ ##0\ </c:formatCode>
                <c:ptCount val="13"/>
                <c:pt idx="0">
                  <c:v>300.76664333156896</c:v>
                </c:pt>
                <c:pt idx="1">
                  <c:v>473.81631294073458</c:v>
                </c:pt>
                <c:pt idx="2" formatCode="0">
                  <c:v>782.57949584806011</c:v>
                </c:pt>
                <c:pt idx="3" formatCode="General">
                  <c:v>996</c:v>
                </c:pt>
                <c:pt idx="4" formatCode="General">
                  <c:v>1029</c:v>
                </c:pt>
                <c:pt idx="5" formatCode="General">
                  <c:v>1102</c:v>
                </c:pt>
                <c:pt idx="6" formatCode="General">
                  <c:v>1204</c:v>
                </c:pt>
                <c:pt idx="7" formatCode="0">
                  <c:v>1287.5</c:v>
                </c:pt>
                <c:pt idx="8" formatCode="General">
                  <c:v>1351</c:v>
                </c:pt>
                <c:pt idx="9" formatCode="General">
                  <c:v>1510</c:v>
                </c:pt>
                <c:pt idx="10">
                  <c:v>1594</c:v>
                </c:pt>
                <c:pt idx="11">
                  <c:v>1782</c:v>
                </c:pt>
                <c:pt idx="12">
                  <c:v>1977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E1E-4111-B44C-D1EB6AAB765D}"/>
            </c:ext>
          </c:extLst>
        </c:ser>
        <c:ser>
          <c:idx val="2"/>
          <c:order val="2"/>
          <c:tx>
            <c:strRef>
              <c:f>ienemumi!$D$365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ienemumi!$D$366:$D$389</c:f>
              <c:numCache>
                <c:formatCode>#\ ##0_ ;[Red]\-#\ ##0\ </c:formatCode>
                <c:ptCount val="13"/>
                <c:pt idx="0">
                  <c:v>194.29314574191383</c:v>
                </c:pt>
                <c:pt idx="1">
                  <c:v>325.83764463491957</c:v>
                </c:pt>
                <c:pt idx="2" formatCode="0">
                  <c:v>510.81098001718829</c:v>
                </c:pt>
                <c:pt idx="3" formatCode="General">
                  <c:v>630</c:v>
                </c:pt>
                <c:pt idx="4" formatCode="General">
                  <c:v>647</c:v>
                </c:pt>
                <c:pt idx="5" formatCode="General">
                  <c:v>691</c:v>
                </c:pt>
                <c:pt idx="6" formatCode="General">
                  <c:v>771</c:v>
                </c:pt>
                <c:pt idx="7" formatCode="0">
                  <c:v>838.5</c:v>
                </c:pt>
                <c:pt idx="8" formatCode="General">
                  <c:v>914</c:v>
                </c:pt>
                <c:pt idx="9" formatCode="General">
                  <c:v>1066</c:v>
                </c:pt>
                <c:pt idx="10">
                  <c:v>1130</c:v>
                </c:pt>
                <c:pt idx="11">
                  <c:v>1264</c:v>
                </c:pt>
                <c:pt idx="12">
                  <c:v>1395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E1E-4111-B44C-D1EB6AAB765D}"/>
            </c:ext>
          </c:extLst>
        </c:ser>
        <c:ser>
          <c:idx val="3"/>
          <c:order val="3"/>
          <c:tx>
            <c:strRef>
              <c:f>ienemumi!$E$365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ienemumi!$E$366:$E$389</c:f>
              <c:numCache>
                <c:formatCode>#\ ##0_ ;[Red]\-#\ ##0\ </c:formatCode>
                <c:ptCount val="13"/>
                <c:pt idx="0">
                  <c:v>232.25536564959788</c:v>
                </c:pt>
                <c:pt idx="1">
                  <c:v>368.52379895390465</c:v>
                </c:pt>
                <c:pt idx="2" formatCode="0">
                  <c:v>557.76574976807194</c:v>
                </c:pt>
                <c:pt idx="3" formatCode="General">
                  <c:v>676</c:v>
                </c:pt>
                <c:pt idx="4" formatCode="General">
                  <c:v>726</c:v>
                </c:pt>
                <c:pt idx="5" formatCode="General">
                  <c:v>821</c:v>
                </c:pt>
                <c:pt idx="6" formatCode="General">
                  <c:v>914</c:v>
                </c:pt>
                <c:pt idx="7" formatCode="0">
                  <c:v>979.5</c:v>
                </c:pt>
                <c:pt idx="8" formatCode="General">
                  <c:v>1071</c:v>
                </c:pt>
                <c:pt idx="9" formatCode="General">
                  <c:v>1218</c:v>
                </c:pt>
                <c:pt idx="10">
                  <c:v>1250</c:v>
                </c:pt>
                <c:pt idx="11">
                  <c:v>1361</c:v>
                </c:pt>
                <c:pt idx="12">
                  <c:v>1547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E1E-4111-B44C-D1EB6AAB765D}"/>
            </c:ext>
          </c:extLst>
        </c:ser>
        <c:ser>
          <c:idx val="8"/>
          <c:order val="4"/>
          <c:tx>
            <c:strRef>
              <c:f>ienemumi!$F$365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ienemumi!$F$366:$F$389</c:f>
              <c:numCache>
                <c:formatCode>General</c:formatCode>
                <c:ptCount val="13"/>
                <c:pt idx="3">
                  <c:v>730</c:v>
                </c:pt>
                <c:pt idx="4">
                  <c:v>773</c:v>
                </c:pt>
                <c:pt idx="5">
                  <c:v>844</c:v>
                </c:pt>
                <c:pt idx="6">
                  <c:v>890</c:v>
                </c:pt>
                <c:pt idx="7" formatCode="0">
                  <c:v>951.5</c:v>
                </c:pt>
                <c:pt idx="8">
                  <c:v>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E1E-4111-B44C-D1EB6AAB765D}"/>
            </c:ext>
          </c:extLst>
        </c:ser>
        <c:ser>
          <c:idx val="4"/>
          <c:order val="5"/>
          <c:tx>
            <c:strRef>
              <c:f>ienemumi!$G$365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ienemumi!$G$366:$G$389</c:f>
              <c:numCache>
                <c:formatCode>#\ ##0_ ;[Red]\-#\ ##0\ </c:formatCode>
                <c:ptCount val="13"/>
                <c:pt idx="0">
                  <c:v>226.42159122600327</c:v>
                </c:pt>
                <c:pt idx="1">
                  <c:v>340.06636274124793</c:v>
                </c:pt>
                <c:pt idx="2" formatCode="0">
                  <c:v>537.84554441921216</c:v>
                </c:pt>
                <c:pt idx="3" formatCode="General">
                  <c:v>778</c:v>
                </c:pt>
                <c:pt idx="4" formatCode="General">
                  <c:v>809</c:v>
                </c:pt>
                <c:pt idx="5" formatCode="General">
                  <c:v>856</c:v>
                </c:pt>
                <c:pt idx="6" formatCode="General">
                  <c:v>933</c:v>
                </c:pt>
                <c:pt idx="7" formatCode="0">
                  <c:v>982.75</c:v>
                </c:pt>
                <c:pt idx="8" formatCode="General">
                  <c:v>1037</c:v>
                </c:pt>
                <c:pt idx="9" formatCode="General">
                  <c:v>1177</c:v>
                </c:pt>
                <c:pt idx="10">
                  <c:v>1207</c:v>
                </c:pt>
                <c:pt idx="11">
                  <c:v>1346</c:v>
                </c:pt>
                <c:pt idx="12">
                  <c:v>1594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E1E-4111-B44C-D1EB6AAB765D}"/>
            </c:ext>
          </c:extLst>
        </c:ser>
        <c:ser>
          <c:idx val="5"/>
          <c:order val="6"/>
          <c:tx>
            <c:strRef>
              <c:f>ienemumi!$H$365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ienemumi!$H$366:$H$389</c:f>
              <c:numCache>
                <c:formatCode>#\ ##0_ ;[Red]\-#\ ##0\ </c:formatCode>
                <c:ptCount val="13"/>
                <c:pt idx="0">
                  <c:v>211.06880438927496</c:v>
                </c:pt>
                <c:pt idx="1">
                  <c:v>351.4493372263106</c:v>
                </c:pt>
                <c:pt idx="2" formatCode="0">
                  <c:v>570.5715960637674</c:v>
                </c:pt>
                <c:pt idx="3" formatCode="General">
                  <c:v>725</c:v>
                </c:pt>
                <c:pt idx="4" formatCode="General">
                  <c:v>760</c:v>
                </c:pt>
                <c:pt idx="5" formatCode="General">
                  <c:v>823</c:v>
                </c:pt>
                <c:pt idx="6" formatCode="General">
                  <c:v>873</c:v>
                </c:pt>
                <c:pt idx="7" formatCode="0">
                  <c:v>939.25</c:v>
                </c:pt>
                <c:pt idx="8" formatCode="General">
                  <c:v>1038</c:v>
                </c:pt>
                <c:pt idx="9" formatCode="General">
                  <c:v>1152</c:v>
                </c:pt>
                <c:pt idx="10">
                  <c:v>1221</c:v>
                </c:pt>
                <c:pt idx="11">
                  <c:v>1366</c:v>
                </c:pt>
                <c:pt idx="12">
                  <c:v>1541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E1E-4111-B44C-D1EB6AAB765D}"/>
            </c:ext>
          </c:extLst>
        </c:ser>
        <c:ser>
          <c:idx val="6"/>
          <c:order val="7"/>
          <c:tx>
            <c:strRef>
              <c:f>ienemumi!$I$365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ienemumi!$I$366:$I$389</c:f>
              <c:numCache>
                <c:formatCode>#\ ##0_ ;[Red]\-#\ ##0\ </c:formatCode>
                <c:ptCount val="13"/>
                <c:pt idx="0">
                  <c:v>202.71654686086021</c:v>
                </c:pt>
                <c:pt idx="1">
                  <c:v>337.22061911998225</c:v>
                </c:pt>
                <c:pt idx="2">
                  <c:v>515.07959544908681</c:v>
                </c:pt>
                <c:pt idx="3" formatCode="General">
                  <c:v>638</c:v>
                </c:pt>
                <c:pt idx="4" formatCode="General">
                  <c:v>682</c:v>
                </c:pt>
                <c:pt idx="5" formatCode="General">
                  <c:v>738</c:v>
                </c:pt>
                <c:pt idx="6" formatCode="General">
                  <c:v>794</c:v>
                </c:pt>
                <c:pt idx="7" formatCode="0">
                  <c:v>865.75</c:v>
                </c:pt>
                <c:pt idx="8" formatCode="General">
                  <c:v>882</c:v>
                </c:pt>
                <c:pt idx="9" formatCode="General">
                  <c:v>1012</c:v>
                </c:pt>
                <c:pt idx="10">
                  <c:v>1083</c:v>
                </c:pt>
                <c:pt idx="11">
                  <c:v>1236</c:v>
                </c:pt>
                <c:pt idx="12">
                  <c:v>1386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CE1E-4111-B44C-D1EB6AAB765D}"/>
            </c:ext>
          </c:extLst>
        </c:ser>
        <c:ser>
          <c:idx val="9"/>
          <c:order val="8"/>
          <c:tx>
            <c:strRef>
              <c:f>ienemumi!$J$365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ienemumi!$J$366:$J$389</c:f>
              <c:numCache>
                <c:formatCode>General</c:formatCode>
                <c:ptCount val="13"/>
                <c:pt idx="3">
                  <c:v>686</c:v>
                </c:pt>
                <c:pt idx="4">
                  <c:v>730</c:v>
                </c:pt>
                <c:pt idx="5">
                  <c:v>798</c:v>
                </c:pt>
                <c:pt idx="6">
                  <c:v>862</c:v>
                </c:pt>
                <c:pt idx="7" formatCode="0">
                  <c:v>936.25</c:v>
                </c:pt>
                <c:pt idx="8">
                  <c:v>1032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E1E-4111-B44C-D1EB6AAB765D}"/>
            </c:ext>
          </c:extLst>
        </c:ser>
        <c:ser>
          <c:idx val="7"/>
          <c:order val="9"/>
          <c:tx>
            <c:strRef>
              <c:f>ienemumi!$K$365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ienemumi!$K$366:$K$389</c:f>
              <c:numCache>
                <c:formatCode>#\ ##0_ ;[Red]\-#\ ##0\ </c:formatCode>
                <c:ptCount val="13"/>
                <c:pt idx="0">
                  <c:v>380.5328370356458</c:v>
                </c:pt>
                <c:pt idx="1">
                  <c:v>402.67272240909273</c:v>
                </c:pt>
                <c:pt idx="2">
                  <c:v>636.02369935287788</c:v>
                </c:pt>
                <c:pt idx="3" formatCode="General">
                  <c:v>831</c:v>
                </c:pt>
                <c:pt idx="4" formatCode="General">
                  <c:v>855</c:v>
                </c:pt>
                <c:pt idx="5" formatCode="General">
                  <c:v>907</c:v>
                </c:pt>
                <c:pt idx="6" formatCode="General">
                  <c:v>983</c:v>
                </c:pt>
                <c:pt idx="7" formatCode="0">
                  <c:v>1048.25</c:v>
                </c:pt>
                <c:pt idx="8" formatCode="General">
                  <c:v>1076</c:v>
                </c:pt>
                <c:pt idx="9" formatCode="General">
                  <c:v>1252</c:v>
                </c:pt>
                <c:pt idx="10">
                  <c:v>1319</c:v>
                </c:pt>
                <c:pt idx="11">
                  <c:v>1428</c:v>
                </c:pt>
                <c:pt idx="12">
                  <c:v>1569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CE1E-4111-B44C-D1EB6AAB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2351104"/>
        <c:axId val="-412350560"/>
      </c:lineChart>
      <c:catAx>
        <c:axId val="-412351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23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2350560"/>
        <c:scaling>
          <c:orientation val="minMax"/>
          <c:max val="2100"/>
          <c:min val="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>
                    <a:lumMod val="8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lv-LV"/>
          </a:p>
        </c:txPr>
        <c:crossAx val="-412351104"/>
        <c:crosses val="autoZero"/>
        <c:crossBetween val="between"/>
        <c:majorUnit val="195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Mēneša vidējā darba samaksa privātajā sektorā (eiro/mēn.)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50038006096866"/>
          <c:y val="9.4235865920137066E-2"/>
          <c:w val="0.8803530814781616"/>
          <c:h val="0.54131922628842377"/>
        </c:manualLayout>
      </c:layout>
      <c:lineChart>
        <c:grouping val="standard"/>
        <c:varyColors val="0"/>
        <c:ser>
          <c:idx val="0"/>
          <c:order val="0"/>
          <c:tx>
            <c:strRef>
              <c:f>ienemumi!$B$408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ienemumi!$B$409:$B$423</c:f>
              <c:numCache>
                <c:formatCode>General</c:formatCode>
                <c:ptCount val="11"/>
                <c:pt idx="0">
                  <c:v>647</c:v>
                </c:pt>
                <c:pt idx="1">
                  <c:v>768</c:v>
                </c:pt>
                <c:pt idx="2">
                  <c:v>721</c:v>
                </c:pt>
                <c:pt idx="3">
                  <c:v>711</c:v>
                </c:pt>
                <c:pt idx="4">
                  <c:v>916</c:v>
                </c:pt>
                <c:pt idx="5">
                  <c:v>973</c:v>
                </c:pt>
                <c:pt idx="6">
                  <c:v>1051</c:v>
                </c:pt>
                <c:pt idx="7">
                  <c:v>1128</c:v>
                </c:pt>
                <c:pt idx="8" formatCode="#\ ##0_ ;[Red]\-#\ ##0\ ">
                  <c:v>1207</c:v>
                </c:pt>
                <c:pt idx="9">
                  <c:v>1271</c:v>
                </c:pt>
                <c:pt idx="10">
                  <c:v>1399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D78-40F6-9198-5ADA9F1D7A8F}"/>
            </c:ext>
          </c:extLst>
        </c:ser>
        <c:ser>
          <c:idx val="1"/>
          <c:order val="1"/>
          <c:tx>
            <c:strRef>
              <c:f>ienemumi!$C$408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CC9900"/>
              </a:solidFill>
            </a:ln>
          </c:spPr>
          <c:marker>
            <c:symbol val="circle"/>
            <c:size val="4"/>
            <c:spPr>
              <a:solidFill>
                <a:srgbClr val="CC9900"/>
              </a:solidFill>
              <a:ln>
                <a:solidFill>
                  <a:srgbClr val="CC9900"/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ienemumi!$C$409:$C$423</c:f>
              <c:numCache>
                <c:formatCode>General</c:formatCode>
                <c:ptCount val="11"/>
                <c:pt idx="0">
                  <c:v>727</c:v>
                </c:pt>
                <c:pt idx="1">
                  <c:v>858</c:v>
                </c:pt>
                <c:pt idx="2">
                  <c:v>814</c:v>
                </c:pt>
                <c:pt idx="3">
                  <c:v>795</c:v>
                </c:pt>
                <c:pt idx="4">
                  <c:v>1020</c:v>
                </c:pt>
                <c:pt idx="5">
                  <c:v>1071</c:v>
                </c:pt>
                <c:pt idx="6">
                  <c:v>1154</c:v>
                </c:pt>
                <c:pt idx="7">
                  <c:v>1221</c:v>
                </c:pt>
                <c:pt idx="8" formatCode="#\ ##0_ ;[Red]\-#\ ##0\ ">
                  <c:v>1300</c:v>
                </c:pt>
                <c:pt idx="9">
                  <c:v>1343</c:v>
                </c:pt>
                <c:pt idx="10">
                  <c:v>1457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D78-40F6-9198-5ADA9F1D7A8F}"/>
            </c:ext>
          </c:extLst>
        </c:ser>
        <c:ser>
          <c:idx val="2"/>
          <c:order val="2"/>
          <c:tx>
            <c:strRef>
              <c:f>ienemumi!$D$408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ienemumi!$D$409:$D$423</c:f>
              <c:numCache>
                <c:formatCode>General</c:formatCode>
                <c:ptCount val="11"/>
                <c:pt idx="0">
                  <c:v>374</c:v>
                </c:pt>
                <c:pt idx="1">
                  <c:v>475</c:v>
                </c:pt>
                <c:pt idx="2">
                  <c:v>434</c:v>
                </c:pt>
                <c:pt idx="3">
                  <c:v>448</c:v>
                </c:pt>
                <c:pt idx="4">
                  <c:v>562</c:v>
                </c:pt>
                <c:pt idx="5">
                  <c:v>608</c:v>
                </c:pt>
                <c:pt idx="6">
                  <c:v>656</c:v>
                </c:pt>
                <c:pt idx="7">
                  <c:v>720</c:v>
                </c:pt>
                <c:pt idx="8" formatCode="#\ ##0_ ;[Red]\-#\ ##0\ ">
                  <c:v>754</c:v>
                </c:pt>
                <c:pt idx="9">
                  <c:v>792</c:v>
                </c:pt>
                <c:pt idx="10">
                  <c:v>955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D78-40F6-9198-5ADA9F1D7A8F}"/>
            </c:ext>
          </c:extLst>
        </c:ser>
        <c:ser>
          <c:idx val="3"/>
          <c:order val="3"/>
          <c:tx>
            <c:strRef>
              <c:f>ienemumi!$E$408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>
                <a:solidFill>
                  <a:srgbClr val="F79646">
                    <a:lumMod val="50000"/>
                  </a:srgb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ienemumi!$E$409:$E$423</c:f>
              <c:numCache>
                <c:formatCode>General</c:formatCode>
                <c:ptCount val="11"/>
                <c:pt idx="0">
                  <c:v>477</c:v>
                </c:pt>
                <c:pt idx="1">
                  <c:v>573</c:v>
                </c:pt>
                <c:pt idx="2">
                  <c:v>534</c:v>
                </c:pt>
                <c:pt idx="3">
                  <c:v>515</c:v>
                </c:pt>
                <c:pt idx="4">
                  <c:v>763</c:v>
                </c:pt>
                <c:pt idx="5">
                  <c:v>840</c:v>
                </c:pt>
                <c:pt idx="6">
                  <c:v>967</c:v>
                </c:pt>
                <c:pt idx="7">
                  <c:v>1046</c:v>
                </c:pt>
                <c:pt idx="8" formatCode="#\ ##0_ ;[Red]\-#\ ##0\ ">
                  <c:v>1125</c:v>
                </c:pt>
                <c:pt idx="9">
                  <c:v>1117</c:v>
                </c:pt>
                <c:pt idx="10">
                  <c:v>1433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D78-40F6-9198-5ADA9F1D7A8F}"/>
            </c:ext>
          </c:extLst>
        </c:ser>
        <c:ser>
          <c:idx val="8"/>
          <c:order val="4"/>
          <c:tx>
            <c:strRef>
              <c:f>ienemumi!$F$408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ienemumi!$F$409:$F$423</c:f>
              <c:numCache>
                <c:formatCode>General</c:formatCode>
                <c:ptCount val="11"/>
                <c:pt idx="3">
                  <c:v>524</c:v>
                </c:pt>
                <c:pt idx="4">
                  <c:v>663</c:v>
                </c:pt>
                <c:pt idx="5">
                  <c:v>717</c:v>
                </c:pt>
                <c:pt idx="6">
                  <c:v>799</c:v>
                </c:pt>
                <c:pt idx="7">
                  <c:v>821</c:v>
                </c:pt>
                <c:pt idx="8" formatCode="#\ ##0_ ;[Red]\-#\ ##0\ ">
                  <c:v>883</c:v>
                </c:pt>
                <c:pt idx="9">
                  <c:v>931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D78-40F6-9198-5ADA9F1D7A8F}"/>
            </c:ext>
          </c:extLst>
        </c:ser>
        <c:ser>
          <c:idx val="4"/>
          <c:order val="5"/>
          <c:tx>
            <c:strRef>
              <c:f>ienemumi!$G$408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ienemumi!$G$409:$G$423</c:f>
              <c:numCache>
                <c:formatCode>General</c:formatCode>
                <c:ptCount val="11"/>
                <c:pt idx="0">
                  <c:v>443</c:v>
                </c:pt>
                <c:pt idx="1">
                  <c:v>602</c:v>
                </c:pt>
                <c:pt idx="2">
                  <c:v>535</c:v>
                </c:pt>
                <c:pt idx="3">
                  <c:v>561</c:v>
                </c:pt>
                <c:pt idx="4">
                  <c:v>681</c:v>
                </c:pt>
                <c:pt idx="5">
                  <c:v>734</c:v>
                </c:pt>
                <c:pt idx="6">
                  <c:v>782</c:v>
                </c:pt>
                <c:pt idx="7">
                  <c:v>856</c:v>
                </c:pt>
                <c:pt idx="8" formatCode="#\ ##0_ ;[Red]\-#\ ##0\ ">
                  <c:v>943</c:v>
                </c:pt>
                <c:pt idx="9">
                  <c:v>993</c:v>
                </c:pt>
                <c:pt idx="10">
                  <c:v>1024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D78-40F6-9198-5ADA9F1D7A8F}"/>
            </c:ext>
          </c:extLst>
        </c:ser>
        <c:ser>
          <c:idx val="5"/>
          <c:order val="6"/>
          <c:tx>
            <c:strRef>
              <c:f>ienemumi!$H$408</c:f>
              <c:strCache>
                <c:ptCount val="1"/>
                <c:pt idx="0">
                  <c:v>Liepāja</c:v>
                </c:pt>
              </c:strCache>
            </c:strRef>
          </c:tx>
          <c:spPr>
            <a:ln w="15875"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ienemumi!$H$409:$H$423</c:f>
              <c:numCache>
                <c:formatCode>General</c:formatCode>
                <c:ptCount val="11"/>
                <c:pt idx="0">
                  <c:v>593</c:v>
                </c:pt>
                <c:pt idx="1">
                  <c:v>693</c:v>
                </c:pt>
                <c:pt idx="2">
                  <c:v>515</c:v>
                </c:pt>
                <c:pt idx="3">
                  <c:v>646</c:v>
                </c:pt>
                <c:pt idx="4">
                  <c:v>890</c:v>
                </c:pt>
                <c:pt idx="5">
                  <c:v>946</c:v>
                </c:pt>
                <c:pt idx="6">
                  <c:v>977</c:v>
                </c:pt>
                <c:pt idx="7">
                  <c:v>1073</c:v>
                </c:pt>
                <c:pt idx="8" formatCode="#\ ##0_ ;[Red]\-#\ ##0\ ">
                  <c:v>1158</c:v>
                </c:pt>
                <c:pt idx="9">
                  <c:v>1245</c:v>
                </c:pt>
                <c:pt idx="10">
                  <c:v>1389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D78-40F6-9198-5ADA9F1D7A8F}"/>
            </c:ext>
          </c:extLst>
        </c:ser>
        <c:ser>
          <c:idx val="6"/>
          <c:order val="7"/>
          <c:tx>
            <c:strRef>
              <c:f>ienemumi!$I$408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C0504D">
                    <a:lumMod val="60000"/>
                    <a:lumOff val="40000"/>
                  </a:srgb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ienemumi!$I$409:$I$423</c:f>
              <c:numCache>
                <c:formatCode>General</c:formatCode>
                <c:ptCount val="11"/>
                <c:pt idx="0">
                  <c:v>406</c:v>
                </c:pt>
                <c:pt idx="1">
                  <c:v>485</c:v>
                </c:pt>
                <c:pt idx="2">
                  <c:v>468</c:v>
                </c:pt>
                <c:pt idx="3">
                  <c:v>497</c:v>
                </c:pt>
                <c:pt idx="4">
                  <c:v>639</c:v>
                </c:pt>
                <c:pt idx="5">
                  <c:v>650</c:v>
                </c:pt>
                <c:pt idx="6">
                  <c:v>707</c:v>
                </c:pt>
                <c:pt idx="7">
                  <c:v>778</c:v>
                </c:pt>
                <c:pt idx="8" formatCode="#\ ##0_ ;[Red]\-#\ ##0\ ">
                  <c:v>773</c:v>
                </c:pt>
                <c:pt idx="9">
                  <c:v>860</c:v>
                </c:pt>
                <c:pt idx="10">
                  <c:v>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D78-40F6-9198-5ADA9F1D7A8F}"/>
            </c:ext>
          </c:extLst>
        </c:ser>
        <c:ser>
          <c:idx val="9"/>
          <c:order val="8"/>
          <c:tx>
            <c:strRef>
              <c:f>ienemumi!$J$408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ienemumi!$J$409:$J$423</c:f>
              <c:numCache>
                <c:formatCode>General</c:formatCode>
                <c:ptCount val="11"/>
                <c:pt idx="3">
                  <c:v>615</c:v>
                </c:pt>
                <c:pt idx="4">
                  <c:v>867</c:v>
                </c:pt>
                <c:pt idx="5">
                  <c:v>939</c:v>
                </c:pt>
                <c:pt idx="6">
                  <c:v>1016</c:v>
                </c:pt>
                <c:pt idx="7">
                  <c:v>1112</c:v>
                </c:pt>
                <c:pt idx="8" formatCode="#\ ##0_ ;[Red]\-#\ ##0\ ">
                  <c:v>1184</c:v>
                </c:pt>
                <c:pt idx="9">
                  <c:v>1258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8D78-40F6-9198-5ADA9F1D7A8F}"/>
            </c:ext>
          </c:extLst>
        </c:ser>
        <c:ser>
          <c:idx val="7"/>
          <c:order val="9"/>
          <c:tx>
            <c:strRef>
              <c:f>ienemumi!$K$408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circle"/>
            <c:size val="4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ienemumi!$K$409:$K$423</c:f>
              <c:numCache>
                <c:formatCode>General</c:formatCode>
                <c:ptCount val="11"/>
                <c:pt idx="0">
                  <c:v>683</c:v>
                </c:pt>
                <c:pt idx="1">
                  <c:v>818</c:v>
                </c:pt>
                <c:pt idx="2">
                  <c:v>804</c:v>
                </c:pt>
                <c:pt idx="3">
                  <c:v>827</c:v>
                </c:pt>
                <c:pt idx="4">
                  <c:v>973</c:v>
                </c:pt>
                <c:pt idx="5">
                  <c:v>970</c:v>
                </c:pt>
                <c:pt idx="6">
                  <c:v>1005</c:v>
                </c:pt>
                <c:pt idx="7">
                  <c:v>1077</c:v>
                </c:pt>
                <c:pt idx="8" formatCode="#\ ##0_ ;[Red]\-#\ ##0\ ">
                  <c:v>1157</c:v>
                </c:pt>
                <c:pt idx="9">
                  <c:v>1125</c:v>
                </c:pt>
                <c:pt idx="10">
                  <c:v>1187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8D78-40F6-9198-5ADA9F1D7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2352736"/>
        <c:axId val="-412350016"/>
      </c:lineChart>
      <c:catAx>
        <c:axId val="-4123527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-412350016"/>
        <c:crosses val="autoZero"/>
        <c:auto val="1"/>
        <c:lblAlgn val="ctr"/>
        <c:lblOffset val="100"/>
        <c:noMultiLvlLbl val="0"/>
      </c:catAx>
      <c:valAx>
        <c:axId val="-412350016"/>
        <c:scaling>
          <c:orientation val="minMax"/>
          <c:max val="1650"/>
          <c:min val="3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>
                    <a:lumMod val="8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lv-LV"/>
          </a:p>
        </c:txPr>
        <c:crossAx val="-412352736"/>
        <c:crosses val="autoZero"/>
        <c:crossBetween val="between"/>
        <c:majorUnit val="13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 pitchFamily="18" charset="0"/>
                <a:ea typeface="Times New Roman"/>
                <a:cs typeface="Times New Roman" pitchFamily="18" charset="0"/>
              </a:defRPr>
            </a:pPr>
            <a:endParaRPr lang="lv-LV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sadalījumā pa nozarēm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339933">
                    <a:gamma/>
                    <a:tint val="45490"/>
                    <a:invGamma/>
                  </a:srgbClr>
                </a:gs>
                <a:gs pos="100000">
                  <a:srgbClr val="339933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72-43A7-88E9-B61FB674A0C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C72-43A7-88E9-B61FB674A0C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C72-43A7-88E9-B61FB674A0C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C72-43A7-88E9-B61FB674A0C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C72-43A7-88E9-B61FB674A0C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C72-43A7-88E9-B61FB674A0C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C72-43A7-88E9-B61FB674A0C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C72-43A7-88E9-B61FB674A0C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C72-43A7-88E9-B61FB674A0C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C72-43A7-88E9-B61FB674A0C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C72-43A7-88E9-B61FB674A0C1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C72-43A7-88E9-B61FB674A0C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C72-43A7-88E9-B61FB674A0C1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C72-43A7-88E9-B61FB674A0C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C72-43A7-88E9-B61FB674A0C1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C72-43A7-88E9-B61FB674A0C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C72-43A7-88E9-B61FB674A0C1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C72-43A7-88E9-B61FB674A0C1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2C72-43A7-88E9-B61FB674A0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2C72-43A7-88E9-B61FB674A0C1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6666">
                    <a:gamma/>
                    <a:tint val="48627"/>
                    <a:invGamma/>
                  </a:srgbClr>
                </a:gs>
                <a:gs pos="100000">
                  <a:srgbClr val="336666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C72-43A7-88E9-B61FB674A0C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C72-43A7-88E9-B61FB674A0C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C72-43A7-88E9-B61FB674A0C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2C72-43A7-88E9-B61FB674A0C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2C72-43A7-88E9-B61FB674A0C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2C72-43A7-88E9-B61FB674A0C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2C72-43A7-88E9-B61FB674A0C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2C72-43A7-88E9-B61FB674A0C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2C72-43A7-88E9-B61FB674A0C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2C72-43A7-88E9-B61FB674A0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E-2C72-43A7-88E9-B61FB674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1777488"/>
        <c:axId val="-341776944"/>
        <c:axId val="0"/>
      </c:bar3DChart>
      <c:catAx>
        <c:axId val="-341777488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177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1776944"/>
        <c:scaling>
          <c:orientation val="minMax"/>
          <c:max val="74"/>
          <c:min val="-12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17774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666699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Vidējā apdrošināšanas iemaksu alga</a:t>
            </a:r>
            <a:r>
              <a:rPr lang="lv-LV" sz="120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, (eiro/mēn.) </a:t>
            </a:r>
            <a:endParaRPr lang="lv-LV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ienemumi!$B$72</c:f>
              <c:strCache>
                <c:ptCount val="1"/>
                <c:pt idx="0">
                  <c:v>Latvija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00FF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ienemumi!$B$73:$B$92</c:f>
              <c:numCache>
                <c:formatCode>0</c:formatCode>
                <c:ptCount val="8"/>
                <c:pt idx="0">
                  <c:v>350.02646541567776</c:v>
                </c:pt>
                <c:pt idx="1">
                  <c:v>573.41733968503308</c:v>
                </c:pt>
                <c:pt idx="2" formatCode="General">
                  <c:v>693</c:v>
                </c:pt>
                <c:pt idx="3" formatCode="General">
                  <c:v>989</c:v>
                </c:pt>
                <c:pt idx="4" formatCode="General">
                  <c:v>1128</c:v>
                </c:pt>
                <c:pt idx="5" formatCode="#\ ##0_ ;[Red]\-#\ ##0\ ">
                  <c:v>1275.25</c:v>
                </c:pt>
                <c:pt idx="6" formatCode="#\ ##0_ ;[Red]\-#\ ##0\ ">
                  <c:v>1430.19</c:v>
                </c:pt>
                <c:pt idx="7" formatCode="#\ ##0_ ;[Red]\-#\ ##0\ ">
                  <c:v>1557.74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74-4DE7-967B-D9D989E6E565}"/>
            </c:ext>
          </c:extLst>
        </c:ser>
        <c:ser>
          <c:idx val="1"/>
          <c:order val="1"/>
          <c:tx>
            <c:strRef>
              <c:f>ienemumi!$C$72</c:f>
              <c:strCache>
                <c:ptCount val="1"/>
                <c:pt idx="0">
                  <c:v>Rīga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ienemumi!$C$73:$C$92</c:f>
              <c:numCache>
                <c:formatCode>0</c:formatCode>
                <c:ptCount val="8"/>
                <c:pt idx="0">
                  <c:v>378.48390162833454</c:v>
                </c:pt>
                <c:pt idx="1">
                  <c:v>640.29231478477641</c:v>
                </c:pt>
                <c:pt idx="2" formatCode="General">
                  <c:v>763</c:v>
                </c:pt>
                <c:pt idx="3" formatCode="General">
                  <c:v>1093</c:v>
                </c:pt>
                <c:pt idx="4" formatCode="General">
                  <c:v>1252</c:v>
                </c:pt>
                <c:pt idx="5" formatCode="#\ ##0_ ;[Red]\-#\ ##0\ ">
                  <c:v>1424.4</c:v>
                </c:pt>
                <c:pt idx="6" formatCode="#\ ##0_ ;[Red]\-#\ ##0\ ">
                  <c:v>1585.16</c:v>
                </c:pt>
                <c:pt idx="7" formatCode="#\ ##0_ ;[Red]\-#\ ##0\ ">
                  <c:v>1714.84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74-4DE7-967B-D9D989E6E565}"/>
            </c:ext>
          </c:extLst>
        </c:ser>
        <c:ser>
          <c:idx val="2"/>
          <c:order val="2"/>
          <c:tx>
            <c:strRef>
              <c:f>ienemumi!$D$72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ienemumi!$D$73:$D$92</c:f>
              <c:numCache>
                <c:formatCode>0</c:formatCode>
                <c:ptCount val="8"/>
                <c:pt idx="0">
                  <c:v>270.34564402023892</c:v>
                </c:pt>
                <c:pt idx="1">
                  <c:v>500.85087734275845</c:v>
                </c:pt>
                <c:pt idx="2" formatCode="General">
                  <c:v>588</c:v>
                </c:pt>
                <c:pt idx="3" formatCode="General">
                  <c:v>775</c:v>
                </c:pt>
                <c:pt idx="4" formatCode="General">
                  <c:v>894</c:v>
                </c:pt>
                <c:pt idx="5" formatCode="#\ ##0_ ;[Red]\-#\ ##0\ ">
                  <c:v>989.19</c:v>
                </c:pt>
                <c:pt idx="6" formatCode="#\ ##0_ ;[Red]\-#\ ##0\ ">
                  <c:v>1119.93</c:v>
                </c:pt>
                <c:pt idx="7" formatCode="#\ ##0_ ;[Red]\-#\ ##0\ ">
                  <c:v>1214.99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74-4DE7-967B-D9D989E6E565}"/>
            </c:ext>
          </c:extLst>
        </c:ser>
        <c:ser>
          <c:idx val="3"/>
          <c:order val="3"/>
          <c:tx>
            <c:strRef>
              <c:f>ienemumi!$E$72</c:f>
              <c:strCache>
                <c:ptCount val="1"/>
                <c:pt idx="0">
                  <c:v>Jelgava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ienemumi!$E$73:$E$92</c:f>
              <c:numCache>
                <c:formatCode>0</c:formatCode>
                <c:ptCount val="8"/>
                <c:pt idx="0">
                  <c:v>341.48923455188077</c:v>
                </c:pt>
                <c:pt idx="1">
                  <c:v>594.76041684452571</c:v>
                </c:pt>
                <c:pt idx="2" formatCode="General">
                  <c:v>713</c:v>
                </c:pt>
                <c:pt idx="3" formatCode="General">
                  <c:v>984</c:v>
                </c:pt>
                <c:pt idx="4" formatCode="General">
                  <c:v>1109</c:v>
                </c:pt>
                <c:pt idx="5" formatCode="#\ ##0_ ;[Red]\-#\ ##0\ ">
                  <c:v>1247.6400000000001</c:v>
                </c:pt>
                <c:pt idx="6" formatCode="#\ ##0_ ;[Red]\-#\ ##0\ ">
                  <c:v>1403.18</c:v>
                </c:pt>
                <c:pt idx="7" formatCode="#\ ##0_ ;[Red]\-#\ ##0\ ">
                  <c:v>1532.7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774-4DE7-967B-D9D989E6E565}"/>
            </c:ext>
          </c:extLst>
        </c:ser>
        <c:ser>
          <c:idx val="4"/>
          <c:order val="4"/>
          <c:tx>
            <c:strRef>
              <c:f>ienemumi!$F$72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 cap="rnd">
              <a:solidFill>
                <a:srgbClr val="FF00FF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F00FF"/>
              </a:solidFill>
              <a:ln w="9525">
                <a:solidFill>
                  <a:srgbClr val="FF00FF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ienemumi!$F$73:$F$92</c:f>
              <c:numCache>
                <c:formatCode>General</c:formatCode>
                <c:ptCount val="8"/>
                <c:pt idx="2">
                  <c:v>602</c:v>
                </c:pt>
                <c:pt idx="3">
                  <c:v>849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774-4DE7-967B-D9D989E6E565}"/>
            </c:ext>
          </c:extLst>
        </c:ser>
        <c:ser>
          <c:idx val="5"/>
          <c:order val="5"/>
          <c:tx>
            <c:strRef>
              <c:f>ienemumi!$G$72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ienemumi!$G$73:$G$92</c:f>
              <c:numCache>
                <c:formatCode>0</c:formatCode>
                <c:ptCount val="8"/>
                <c:pt idx="0">
                  <c:v>367.1009271432718</c:v>
                </c:pt>
                <c:pt idx="1">
                  <c:v>648.82954564857346</c:v>
                </c:pt>
                <c:pt idx="2" formatCode="General">
                  <c:v>758</c:v>
                </c:pt>
                <c:pt idx="3" formatCode="General">
                  <c:v>1070</c:v>
                </c:pt>
                <c:pt idx="4" formatCode="General">
                  <c:v>1236</c:v>
                </c:pt>
                <c:pt idx="5" formatCode="#\ ##0_ ;[Red]\-#\ ##0\ ">
                  <c:v>1412.96</c:v>
                </c:pt>
                <c:pt idx="6" formatCode="#\ ##0_ ;[Red]\-#\ ##0\ ">
                  <c:v>1574.99</c:v>
                </c:pt>
                <c:pt idx="7" formatCode="#\ ##0_ ;[Red]\-#\ ##0\ ">
                  <c:v>1706.54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774-4DE7-967B-D9D989E6E565}"/>
            </c:ext>
          </c:extLst>
        </c:ser>
        <c:ser>
          <c:idx val="6"/>
          <c:order val="6"/>
          <c:tx>
            <c:strRef>
              <c:f>ienemumi!$H$72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ienemumi!$H$73:$H$92</c:f>
              <c:numCache>
                <c:formatCode>0</c:formatCode>
                <c:ptCount val="8"/>
                <c:pt idx="0">
                  <c:v>293.11159299036433</c:v>
                </c:pt>
                <c:pt idx="1">
                  <c:v>522.19395450225102</c:v>
                </c:pt>
                <c:pt idx="2" formatCode="General">
                  <c:v>624</c:v>
                </c:pt>
                <c:pt idx="3" formatCode="General">
                  <c:v>867</c:v>
                </c:pt>
                <c:pt idx="4" formatCode="General">
                  <c:v>982</c:v>
                </c:pt>
                <c:pt idx="5" formatCode="#\ ##0_ ;[Red]\-#\ ##0\ ">
                  <c:v>1103.3</c:v>
                </c:pt>
                <c:pt idx="6" formatCode="#\ ##0_ ;[Red]\-#\ ##0\ ">
                  <c:v>1231.71</c:v>
                </c:pt>
                <c:pt idx="7" formatCode="#\ ##0_ ;[Red]\-#\ ##0\ ">
                  <c:v>1342.32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774-4DE7-967B-D9D989E6E565}"/>
            </c:ext>
          </c:extLst>
        </c:ser>
        <c:ser>
          <c:idx val="7"/>
          <c:order val="7"/>
          <c:tx>
            <c:strRef>
              <c:f>ienemumi!$I$72</c:f>
              <c:strCache>
                <c:ptCount val="1"/>
                <c:pt idx="0">
                  <c:v>Rēzekne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ienemumi!$I$73:$I$92</c:f>
              <c:numCache>
                <c:formatCode>0</c:formatCode>
                <c:ptCount val="8"/>
                <c:pt idx="0">
                  <c:v>291.68872117973149</c:v>
                </c:pt>
                <c:pt idx="1">
                  <c:v>519.34821088098533</c:v>
                </c:pt>
                <c:pt idx="2" formatCode="General">
                  <c:v>606</c:v>
                </c:pt>
                <c:pt idx="3" formatCode="General">
                  <c:v>798</c:v>
                </c:pt>
                <c:pt idx="4" formatCode="General">
                  <c:v>905</c:v>
                </c:pt>
                <c:pt idx="5" formatCode="#\ ##0_ ;[Red]\-#\ ##0\ ">
                  <c:v>1018.04</c:v>
                </c:pt>
                <c:pt idx="6" formatCode="#\ ##0_ ;[Red]\-#\ ##0\ ">
                  <c:v>1152.8900000000001</c:v>
                </c:pt>
                <c:pt idx="7" formatCode="#\ ##0_ ;[Red]\-#\ ##0\ ">
                  <c:v>1269.1199999999999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774-4DE7-967B-D9D989E6E565}"/>
            </c:ext>
          </c:extLst>
        </c:ser>
        <c:ser>
          <c:idx val="8"/>
          <c:order val="8"/>
          <c:tx>
            <c:strRef>
              <c:f>ienemumi!$J$72</c:f>
              <c:strCache>
                <c:ptCount val="1"/>
                <c:pt idx="0">
                  <c:v>Valmiera 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ienemumi!$J$73:$J$92</c:f>
              <c:numCache>
                <c:formatCode>General</c:formatCode>
                <c:ptCount val="8"/>
                <c:pt idx="2">
                  <c:v>703</c:v>
                </c:pt>
                <c:pt idx="3">
                  <c:v>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774-4DE7-967B-D9D989E6E565}"/>
            </c:ext>
          </c:extLst>
        </c:ser>
        <c:ser>
          <c:idx val="9"/>
          <c:order val="9"/>
          <c:tx>
            <c:strRef>
              <c:f>ienemumi!$K$72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ienemumi!$K$73:$K$92</c:f>
              <c:numCache>
                <c:formatCode>0</c:formatCode>
                <c:ptCount val="8"/>
                <c:pt idx="0">
                  <c:v>375.63815800706885</c:v>
                </c:pt>
                <c:pt idx="1">
                  <c:v>673.01836642933165</c:v>
                </c:pt>
                <c:pt idx="2" formatCode="General">
                  <c:v>769</c:v>
                </c:pt>
                <c:pt idx="3" formatCode="General">
                  <c:v>976</c:v>
                </c:pt>
                <c:pt idx="4" formatCode="General">
                  <c:v>1081</c:v>
                </c:pt>
                <c:pt idx="5" formatCode="#\ ##0_ ;[Red]\-#\ ##0\ ">
                  <c:v>1216.8499999999999</c:v>
                </c:pt>
                <c:pt idx="6" formatCode="General">
                  <c:v>1346</c:v>
                </c:pt>
                <c:pt idx="7" formatCode="General">
                  <c:v>1445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774-4DE7-967B-D9D989E6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2352192"/>
        <c:axId val="-412351648"/>
      </c:lineChart>
      <c:catAx>
        <c:axId val="-412352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-412351648"/>
        <c:crosses val="autoZero"/>
        <c:auto val="1"/>
        <c:lblAlgn val="ctr"/>
        <c:lblOffset val="100"/>
        <c:noMultiLvlLbl val="0"/>
      </c:catAx>
      <c:valAx>
        <c:axId val="-412351648"/>
        <c:scaling>
          <c:orientation val="minMax"/>
          <c:max val="2200"/>
          <c:min val="35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412352192"/>
        <c:crosses val="autoZero"/>
        <c:crossBetween val="between"/>
        <c:majorUnit val="18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>
                <a:solidFill>
                  <a:sysClr val="windowText" lastClr="000000"/>
                </a:solidFill>
              </a:rPr>
              <a:t>Vidējā bruto darba samaksa pašvaldību sektorā,</a:t>
            </a:r>
            <a:r>
              <a:rPr lang="lv-LV" sz="1200" baseline="0">
                <a:solidFill>
                  <a:sysClr val="windowText" lastClr="000000"/>
                </a:solidFill>
              </a:rPr>
              <a:t> (eiro/mēn.)</a:t>
            </a:r>
            <a:endParaRPr lang="lv-LV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4125479339958126"/>
          <c:y val="1.7152658662092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ienemumi!$B$111</c:f>
              <c:strCache>
                <c:ptCount val="1"/>
                <c:pt idx="0">
                  <c:v>Latvija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ienemumi!$B$112:$B$115</c:f>
              <c:numCache>
                <c:formatCode>#\ ##0_ ;[Red]\-#\ ##0\ </c:formatCode>
                <c:ptCount val="4"/>
                <c:pt idx="0">
                  <c:v>1035</c:v>
                </c:pt>
                <c:pt idx="1">
                  <c:v>1100</c:v>
                </c:pt>
                <c:pt idx="2">
                  <c:v>1243</c:v>
                </c:pt>
                <c:pt idx="3">
                  <c:v>1424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89E-4BF1-AFDF-2982C2E9955A}"/>
            </c:ext>
          </c:extLst>
        </c:ser>
        <c:ser>
          <c:idx val="1"/>
          <c:order val="1"/>
          <c:tx>
            <c:strRef>
              <c:f>ienemumi!$C$111</c:f>
              <c:strCache>
                <c:ptCount val="1"/>
                <c:pt idx="0">
                  <c:v>Rīga</c:v>
                </c:pt>
              </c:strCache>
            </c:strRef>
          </c:tx>
          <c:spPr>
            <a:ln w="12700" cap="rnd">
              <a:solidFill>
                <a:srgbClr val="C75F09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C75F09"/>
              </a:solidFill>
              <a:ln w="9525">
                <a:solidFill>
                  <a:srgbClr val="C75F09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ienemumi!$C$112:$C$115</c:f>
              <c:numCache>
                <c:formatCode>#\ ##0_ ;[Red]\-#\ ##0\ </c:formatCode>
                <c:ptCount val="4"/>
                <c:pt idx="0">
                  <c:v>1113</c:v>
                </c:pt>
                <c:pt idx="1">
                  <c:v>1168</c:v>
                </c:pt>
                <c:pt idx="2">
                  <c:v>1309</c:v>
                </c:pt>
                <c:pt idx="3">
                  <c:v>1527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89E-4BF1-AFDF-2982C2E9955A}"/>
            </c:ext>
          </c:extLst>
        </c:ser>
        <c:ser>
          <c:idx val="2"/>
          <c:order val="2"/>
          <c:tx>
            <c:strRef>
              <c:f>ienemumi!$D$111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ienemumi!$D$112:$D$115</c:f>
              <c:numCache>
                <c:formatCode>#\ ##0_ ;[Red]\-#\ ##0\ </c:formatCode>
                <c:ptCount val="4"/>
                <c:pt idx="0">
                  <c:v>1085</c:v>
                </c:pt>
                <c:pt idx="1">
                  <c:v>1140</c:v>
                </c:pt>
                <c:pt idx="2">
                  <c:v>1272</c:v>
                </c:pt>
                <c:pt idx="3">
                  <c:v>1412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89E-4BF1-AFDF-2982C2E9955A}"/>
            </c:ext>
          </c:extLst>
        </c:ser>
        <c:ser>
          <c:idx val="3"/>
          <c:order val="3"/>
          <c:tx>
            <c:strRef>
              <c:f>ienemumi!$E$111</c:f>
              <c:strCache>
                <c:ptCount val="1"/>
                <c:pt idx="0">
                  <c:v>Jelgava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ienemumi!$E$112:$E$115</c:f>
              <c:numCache>
                <c:formatCode>#\ ##0_ ;[Red]\-#\ ##0\ </c:formatCode>
                <c:ptCount val="4"/>
                <c:pt idx="0">
                  <c:v>1191</c:v>
                </c:pt>
                <c:pt idx="1">
                  <c:v>1252</c:v>
                </c:pt>
                <c:pt idx="2">
                  <c:v>1354</c:v>
                </c:pt>
                <c:pt idx="3">
                  <c:v>1513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89E-4BF1-AFDF-2982C2E9955A}"/>
            </c:ext>
          </c:extLst>
        </c:ser>
        <c:ser>
          <c:idx val="4"/>
          <c:order val="4"/>
          <c:tx>
            <c:strRef>
              <c:f>ienemumi!$F$111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ienemumi!$F$112:$F$115</c:f>
              <c:numCache>
                <c:formatCode>#\ ##0_ ;[Red]\-#\ ##0\ </c:formatCode>
                <c:ptCount val="4"/>
                <c:pt idx="0">
                  <c:v>1162</c:v>
                </c:pt>
                <c:pt idx="1">
                  <c:v>1161</c:v>
                </c:pt>
                <c:pt idx="2">
                  <c:v>1281</c:v>
                </c:pt>
                <c:pt idx="3">
                  <c:v>1558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89E-4BF1-AFDF-2982C2E9955A}"/>
            </c:ext>
          </c:extLst>
        </c:ser>
        <c:ser>
          <c:idx val="5"/>
          <c:order val="5"/>
          <c:tx>
            <c:strRef>
              <c:f>ienemumi!$G$111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ienemumi!$G$112:$G$115</c:f>
              <c:numCache>
                <c:formatCode>#\ ##0_ ;[Red]\-#\ ##0\ </c:formatCode>
                <c:ptCount val="4"/>
                <c:pt idx="0">
                  <c:v>1104</c:v>
                </c:pt>
                <c:pt idx="1">
                  <c:v>1181</c:v>
                </c:pt>
                <c:pt idx="2">
                  <c:v>1329</c:v>
                </c:pt>
                <c:pt idx="3">
                  <c:v>1516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89E-4BF1-AFDF-2982C2E9955A}"/>
            </c:ext>
          </c:extLst>
        </c:ser>
        <c:ser>
          <c:idx val="6"/>
          <c:order val="6"/>
          <c:tx>
            <c:strRef>
              <c:f>ienemumi!$H$111</c:f>
              <c:strCache>
                <c:ptCount val="1"/>
                <c:pt idx="0">
                  <c:v>Rēzekne </c:v>
                </c:pt>
              </c:strCache>
            </c:strRef>
          </c:tx>
          <c:spPr>
            <a:ln w="12700" cap="rnd">
              <a:solidFill>
                <a:srgbClr val="80008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800080"/>
              </a:solidFill>
              <a:ln w="9525">
                <a:solidFill>
                  <a:srgbClr val="800080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ienemumi!$H$112:$H$115</c:f>
              <c:numCache>
                <c:formatCode>#\ ##0_ ;[Red]\-#\ ##0\ </c:formatCode>
                <c:ptCount val="4"/>
                <c:pt idx="0">
                  <c:v>1014</c:v>
                </c:pt>
                <c:pt idx="1">
                  <c:v>1082</c:v>
                </c:pt>
                <c:pt idx="2">
                  <c:v>1227</c:v>
                </c:pt>
                <c:pt idx="3">
                  <c:v>1350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89E-4BF1-AFDF-2982C2E9955A}"/>
            </c:ext>
          </c:extLst>
        </c:ser>
        <c:ser>
          <c:idx val="7"/>
          <c:order val="7"/>
          <c:tx>
            <c:strRef>
              <c:f>ienemumi!$I$111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ienemumi!$I$112:$I$115</c:f>
              <c:numCache>
                <c:formatCode>#\ ##0_ ;[Red]\-#\ ##0\ </c:formatCode>
                <c:ptCount val="4"/>
                <c:pt idx="0">
                  <c:v>1229</c:v>
                </c:pt>
                <c:pt idx="1">
                  <c:v>1318</c:v>
                </c:pt>
                <c:pt idx="2">
                  <c:v>1410</c:v>
                </c:pt>
                <c:pt idx="3">
                  <c:v>1554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B89E-4BF1-AFDF-2982C2E99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79439"/>
        <c:axId val="136583279"/>
      </c:lineChart>
      <c:catAx>
        <c:axId val="13657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36583279"/>
        <c:crosses val="autoZero"/>
        <c:auto val="1"/>
        <c:lblAlgn val="ctr"/>
        <c:lblOffset val="100"/>
        <c:noMultiLvlLbl val="0"/>
      </c:catAx>
      <c:valAx>
        <c:axId val="136583279"/>
        <c:scaling>
          <c:orientation val="minMax"/>
          <c:max val="1600"/>
          <c:min val="1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" sourceLinked="1"/>
        <c:majorTickMark val="none"/>
        <c:minorTickMark val="none"/>
        <c:tickLblPos val="nextTo"/>
        <c:crossAx val="136579439"/>
        <c:crosses val="autoZero"/>
        <c:crossBetween val="between"/>
        <c:majorUnit val="6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Patēriņa cenu un Liepājā strādājošo vidējās apdrošināšanas iemaksu algas dinamika 
(% pret 2005.g.)</a:t>
            </a:r>
          </a:p>
        </c:rich>
      </c:tx>
      <c:layout>
        <c:manualLayout>
          <c:xMode val="edge"/>
          <c:yMode val="edge"/>
          <c:x val="0.29147522466191156"/>
          <c:y val="1.434308516313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376195366883487"/>
          <c:y val="0.11588005361990694"/>
          <c:w val="0.65716627347651579"/>
          <c:h val="0.70386339846201729"/>
        </c:manualLayout>
      </c:layout>
      <c:lineChart>
        <c:grouping val="standard"/>
        <c:varyColors val="0"/>
        <c:ser>
          <c:idx val="0"/>
          <c:order val="0"/>
          <c:tx>
            <c:strRef>
              <c:f>ienemumi!$B$141</c:f>
              <c:strCache>
                <c:ptCount val="1"/>
                <c:pt idx="0">
                  <c:v>patēriņa cenas, %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ienemumi!$A$142:$A$161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ienemumi!$B$142:$B$161</c:f>
              <c:numCache>
                <c:formatCode>General</c:formatCode>
                <c:ptCount val="8"/>
                <c:pt idx="0">
                  <c:v>100</c:v>
                </c:pt>
                <c:pt idx="1">
                  <c:v>139</c:v>
                </c:pt>
                <c:pt idx="2" formatCode="0">
                  <c:v>149.1</c:v>
                </c:pt>
                <c:pt idx="3" formatCode="0">
                  <c:v>162.30000000000001</c:v>
                </c:pt>
                <c:pt idx="4">
                  <c:v>168</c:v>
                </c:pt>
                <c:pt idx="5">
                  <c:v>197</c:v>
                </c:pt>
                <c:pt idx="6">
                  <c:v>214</c:v>
                </c:pt>
                <c:pt idx="7">
                  <c:v>217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FED-42D6-8AA1-9D501D40E65B}"/>
            </c:ext>
          </c:extLst>
        </c:ser>
        <c:ser>
          <c:idx val="1"/>
          <c:order val="1"/>
          <c:tx>
            <c:strRef>
              <c:f>ienemumi!$C$141</c:f>
              <c:strCache>
                <c:ptCount val="1"/>
                <c:pt idx="0">
                  <c:v>Liepājā strādājošo mēneša vidējā bruto darba samaksa, %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ienemumi!$A$142:$A$161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ienemumi!$C$142:$C$161</c:f>
              <c:numCache>
                <c:formatCode>General</c:formatCode>
                <c:ptCount val="8"/>
                <c:pt idx="0">
                  <c:v>100</c:v>
                </c:pt>
                <c:pt idx="1">
                  <c:v>178</c:v>
                </c:pt>
                <c:pt idx="2">
                  <c:v>213</c:v>
                </c:pt>
                <c:pt idx="3" formatCode="0">
                  <c:v>296.39999999999998</c:v>
                </c:pt>
                <c:pt idx="4">
                  <c:v>336</c:v>
                </c:pt>
                <c:pt idx="5">
                  <c:v>377</c:v>
                </c:pt>
                <c:pt idx="6">
                  <c:v>421</c:v>
                </c:pt>
                <c:pt idx="7">
                  <c:v>459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FED-42D6-8AA1-9D501D40E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7021120"/>
        <c:axId val="-507020576"/>
      </c:lineChart>
      <c:catAx>
        <c:axId val="-5070211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20576"/>
        <c:crosses val="autoZero"/>
        <c:auto val="1"/>
        <c:lblAlgn val="ctr"/>
        <c:lblOffset val="100"/>
        <c:tickMarkSkip val="1"/>
        <c:noMultiLvlLbl val="0"/>
      </c:catAx>
      <c:valAx>
        <c:axId val="-507020576"/>
        <c:scaling>
          <c:orientation val="minMax"/>
          <c:max val="50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07021120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100" b="0" i="0" u="none" strike="noStrike" kern="1200" spc="0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Patēriņa cenu un  Liepājā strādājošo mēneša vidējās bruto darba samaksas dinamika (%pret 2015.gadu</a:t>
            </a:r>
            <a:r>
              <a:rPr lang="lv-LV" sz="1400" b="0" i="0" u="none" strike="noStrike" kern="1200" spc="0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)</a:t>
            </a: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ienemumi!$B$180</c:f>
              <c:strCache>
                <c:ptCount val="1"/>
                <c:pt idx="0">
                  <c:v>patēriņa cenas, %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ienemumi!$A$181:$A$190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ienemumi!$B$181:$B$190</c:f>
              <c:numCache>
                <c:formatCode>0</c:formatCode>
                <c:ptCount val="10"/>
                <c:pt idx="0" formatCode="General">
                  <c:v>100</c:v>
                </c:pt>
                <c:pt idx="1">
                  <c:v>100.1</c:v>
                </c:pt>
                <c:pt idx="2">
                  <c:v>103.1</c:v>
                </c:pt>
                <c:pt idx="3">
                  <c:v>105.7</c:v>
                </c:pt>
                <c:pt idx="4">
                  <c:v>108.7</c:v>
                </c:pt>
                <c:pt idx="5">
                  <c:v>108.9</c:v>
                </c:pt>
                <c:pt idx="6">
                  <c:v>112.5</c:v>
                </c:pt>
                <c:pt idx="7">
                  <c:v>131.9</c:v>
                </c:pt>
                <c:pt idx="8">
                  <c:v>143.69999999999999</c:v>
                </c:pt>
                <c:pt idx="9">
                  <c:v>145.5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685-4F9D-A671-A0A58B2F3251}"/>
            </c:ext>
          </c:extLst>
        </c:ser>
        <c:ser>
          <c:idx val="1"/>
          <c:order val="1"/>
          <c:tx>
            <c:strRef>
              <c:f>ienemumi!$C$180</c:f>
              <c:strCache>
                <c:ptCount val="1"/>
                <c:pt idx="0">
                  <c:v>Liepājā strādājošo mēneša vidējā bruto darba samaksa, %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ienemumi!$A$181:$A$190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ienemumi!$C$181:$C$190</c:f>
              <c:numCache>
                <c:formatCode>0</c:formatCode>
                <c:ptCount val="10"/>
                <c:pt idx="0">
                  <c:v>100</c:v>
                </c:pt>
                <c:pt idx="1">
                  <c:v>105.76923076923077</c:v>
                </c:pt>
                <c:pt idx="2">
                  <c:v>115.22435897435896</c:v>
                </c:pt>
                <c:pt idx="3">
                  <c:v>124.35897435897436</c:v>
                </c:pt>
                <c:pt idx="4">
                  <c:v>133.0128205128205</c:v>
                </c:pt>
                <c:pt idx="5">
                  <c:v>138.94230769230768</c:v>
                </c:pt>
                <c:pt idx="6">
                  <c:v>157.44230769230768</c:v>
                </c:pt>
                <c:pt idx="7">
                  <c:v>176.81089743589743</c:v>
                </c:pt>
                <c:pt idx="8">
                  <c:v>197.43589743589746</c:v>
                </c:pt>
                <c:pt idx="9">
                  <c:v>215.06410256410254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685-4F9D-A671-A0A58B2F3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99439"/>
        <c:axId val="136699919"/>
      </c:lineChart>
      <c:catAx>
        <c:axId val="1366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6699919"/>
        <c:crosses val="autoZero"/>
        <c:auto val="1"/>
        <c:lblAlgn val="ctr"/>
        <c:lblOffset val="100"/>
        <c:noMultiLvlLbl val="0"/>
      </c:catAx>
      <c:valAx>
        <c:axId val="136699919"/>
        <c:scaling>
          <c:orientation val="minMax"/>
          <c:min val="1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6699439"/>
        <c:crosses val="autoZero"/>
        <c:crossBetween val="between"/>
        <c:majorUnit val="1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rūpniecības nozaru struktūra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explosion val="19"/>
          <c:dPt>
            <c:idx val="0"/>
            <c:bubble3D val="0"/>
            <c:spPr>
              <a:gradFill rotWithShape="0">
                <a:gsLst>
                  <a:gs pos="0">
                    <a:srgbClr val="A6CAF0">
                      <a:gamma/>
                      <a:shade val="53333"/>
                      <a:invGamma/>
                    </a:srgbClr>
                  </a:gs>
                  <a:gs pos="100000">
                    <a:srgbClr val="A6CAF0"/>
                  </a:gs>
                </a:gsLst>
                <a:lin ang="27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FEB-40C1-82F7-151E09F638D3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B-40C1-82F7-151E09F638D3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B-40C1-82F7-151E09F638D3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EB-40C1-82F7-151E09F638D3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EB-40C1-82F7-151E09F638D3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EB-40C1-82F7-151E09F638D3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EB-40C1-82F7-151E09F638D3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EB-40C1-82F7-151E09F638D3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EB-40C1-82F7-151E09F638D3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EB-40C1-82F7-151E09F638D3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EB-40C1-82F7-151E09F638D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6FEB-40C1-82F7-151E09F63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nozaru struktūra 2004.gadā,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ienemumi!#REF!</c:v>
          </c:tx>
          <c:spPr>
            <a:pattFill prst="pct75">
              <a:fgClr>
                <a:srgbClr val="FFFFFF"/>
              </a:fgClr>
              <a:bgClr>
                <a:srgbClr val="996666"/>
              </a:bgClr>
            </a:pattFill>
            <a:ln w="38100">
              <a:solidFill>
                <a:srgbClr val="996666"/>
              </a:solidFill>
              <a:prstDash val="solid"/>
            </a:ln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12-4C4D-9171-EC4BDAB86E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D12-4C4D-9171-EC4BDAB86E04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996666"/>
                </a:gs>
                <a:gs pos="100000">
                  <a:srgbClr val="99666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12-4C4D-9171-EC4BDAB86E0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12-4C4D-9171-EC4BDAB86E0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12-4C4D-9171-EC4BDAB86E04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12-4C4D-9171-EC4BDAB86E0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12-4C4D-9171-EC4BDAB86E0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12-4C4D-9171-EC4BDAB86E0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12-4C4D-9171-EC4BDAB86E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8D12-4C4D-9171-EC4BDAB86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0332768"/>
        <c:axId val="-41255456"/>
      </c:barChart>
      <c:catAx>
        <c:axId val="-410332768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4125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255456"/>
        <c:scaling>
          <c:orientation val="minMax"/>
          <c:max val="75"/>
          <c:min val="0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0332768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dinamika, Liepāja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666699">
                    <a:gamma/>
                    <a:tint val="29412"/>
                    <a:invGamma/>
                  </a:srgbClr>
                </a:gs>
                <a:gs pos="100000">
                  <a:srgbClr val="6666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38-4D9E-98F5-80377DC0174C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008080">
                    <a:gamma/>
                    <a:tint val="42745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338-4D9E-98F5-80377DC0174C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0080C0">
                    <a:gamma/>
                    <a:tint val="50588"/>
                    <a:invGamma/>
                  </a:srgbClr>
                </a:gs>
                <a:gs pos="100000">
                  <a:srgbClr val="0080C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338-4D9E-98F5-80377DC0174C}"/>
            </c:ext>
          </c:extLst>
        </c:ser>
        <c:ser>
          <c:idx val="3"/>
          <c:order val="3"/>
          <c:tx>
            <c:v>ienemumi!#REF!</c:v>
          </c:tx>
          <c:spPr>
            <a:gradFill rotWithShape="0">
              <a:gsLst>
                <a:gs pos="0">
                  <a:srgbClr val="600080">
                    <a:gamma/>
                    <a:tint val="42745"/>
                    <a:invGamma/>
                  </a:srgbClr>
                </a:gs>
                <a:gs pos="100000">
                  <a:srgbClr val="6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338-4D9E-98F5-80377DC0174C}"/>
            </c:ext>
          </c:extLst>
        </c:ser>
        <c:ser>
          <c:idx val="4"/>
          <c:order val="4"/>
          <c:tx>
            <c:v>ienemumi!#REF!</c:v>
          </c:tx>
          <c:spPr>
            <a:gradFill rotWithShape="0">
              <a:gsLst>
                <a:gs pos="0">
                  <a:srgbClr val="800080">
                    <a:gamma/>
                    <a:tint val="63922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338-4D9E-98F5-80377DC0174C}"/>
            </c:ext>
          </c:extLst>
        </c:ser>
        <c:ser>
          <c:idx val="5"/>
          <c:order val="5"/>
          <c:tx>
            <c:v>ienemumi!#REF!</c:v>
          </c:tx>
          <c:spPr>
            <a:gradFill rotWithShape="0">
              <a:gsLst>
                <a:gs pos="0">
                  <a:srgbClr val="FF0F70">
                    <a:gamma/>
                    <a:tint val="53333"/>
                    <a:invGamma/>
                  </a:srgbClr>
                </a:gs>
                <a:gs pos="100000">
                  <a:srgbClr val="FF0F7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338-4D9E-98F5-80377DC0174C}"/>
            </c:ext>
          </c:extLst>
        </c:ser>
        <c:ser>
          <c:idx val="6"/>
          <c:order val="6"/>
          <c:tx>
            <c:v>ienemumi!#REF!</c:v>
          </c:tx>
          <c:spPr>
            <a:gradFill rotWithShape="0">
              <a:gsLst>
                <a:gs pos="0">
                  <a:srgbClr val="3333CC">
                    <a:gamma/>
                    <a:tint val="56078"/>
                    <a:invGamma/>
                  </a:srgbClr>
                </a:gs>
                <a:gs pos="100000">
                  <a:srgbClr val="3333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338-4D9E-98F5-80377DC0174C}"/>
            </c:ext>
          </c:extLst>
        </c:ser>
        <c:ser>
          <c:idx val="7"/>
          <c:order val="7"/>
          <c:tx>
            <c:v>ienemumi!#REF!</c:v>
          </c:tx>
          <c:spPr>
            <a:gradFill rotWithShape="0">
              <a:gsLst>
                <a:gs pos="0">
                  <a:srgbClr val="0080C0"/>
                </a:gs>
                <a:gs pos="100000">
                  <a:srgbClr val="0080C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338-4D9E-98F5-80377DC0174C}"/>
            </c:ext>
          </c:extLst>
        </c:ser>
        <c:ser>
          <c:idx val="8"/>
          <c:order val="8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338-4D9E-98F5-80377DC01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4912"/>
        <c:axId val="-41254368"/>
      </c:barChart>
      <c:catAx>
        <c:axId val="-412549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25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25436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4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rūipniecības produkcijas izlaide un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41-4C95-A72E-3D4D34671C64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66FF">
                    <a:gamma/>
                    <a:tint val="60784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41-4C95-A72E-3D4D34671C64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A6CAF0">
                    <a:gamma/>
                    <a:tint val="60784"/>
                    <a:invGamma/>
                  </a:srgbClr>
                </a:gs>
                <a:gs pos="100000">
                  <a:srgbClr val="A6CAF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41-4C95-A72E-3D4D34671C64}"/>
            </c:ext>
          </c:extLst>
        </c:ser>
        <c:ser>
          <c:idx val="3"/>
          <c:order val="3"/>
          <c:tx>
            <c:v>ienemumi!#REF!</c:v>
          </c:tx>
          <c:spPr>
            <a:gradFill rotWithShape="0">
              <a:gsLst>
                <a:gs pos="0">
                  <a:srgbClr val="C0C0FF"/>
                </a:gs>
                <a:gs pos="100000">
                  <a:srgbClr val="C0C0FF">
                    <a:gamma/>
                    <a:shade val="8470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041-4C95-A72E-3D4D34671C64}"/>
            </c:ext>
          </c:extLst>
        </c:ser>
        <c:ser>
          <c:idx val="4"/>
          <c:order val="4"/>
          <c:tx>
            <c:v>ienemumi!#REF!</c:v>
          </c:tx>
          <c:spPr>
            <a:pattFill prst="wdUpDiag">
              <a:fgClr>
                <a:srgbClr val="FFFFFF"/>
              </a:fgClr>
              <a:bgClr>
                <a:srgbClr val="C0C0FF"/>
              </a:bgClr>
            </a:pattFill>
            <a:ln w="3175">
              <a:solidFill>
                <a:srgbClr val="C0C0FF"/>
              </a:solidFill>
              <a:prstDash val="solid"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041-4C95-A72E-3D4D34671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3280"/>
        <c:axId val="-41252736"/>
      </c:barChart>
      <c:catAx>
        <c:axId val="-412532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25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25273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3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299</xdr:row>
      <xdr:rowOff>0</xdr:rowOff>
    </xdr:from>
    <xdr:to>
      <xdr:col>11</xdr:col>
      <xdr:colOff>0</xdr:colOff>
      <xdr:row>299</xdr:row>
      <xdr:rowOff>0</xdr:rowOff>
    </xdr:to>
    <xdr:graphicFrame macro="">
      <xdr:nvGraphicFramePr>
        <xdr:cNvPr id="3099789" name="Chart 2">
          <a:extLst>
            <a:ext uri="{FF2B5EF4-FFF2-40B4-BE49-F238E27FC236}">
              <a16:creationId xmlns:a16="http://schemas.microsoft.com/office/drawing/2014/main" id="{00000000-0008-0000-0000-00008D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447675</xdr:colOff>
      <xdr:row>299</xdr:row>
      <xdr:rowOff>0</xdr:rowOff>
    </xdr:to>
    <xdr:graphicFrame macro="">
      <xdr:nvGraphicFramePr>
        <xdr:cNvPr id="3099790" name="Chart 3">
          <a:extLst>
            <a:ext uri="{FF2B5EF4-FFF2-40B4-BE49-F238E27FC236}">
              <a16:creationId xmlns:a16="http://schemas.microsoft.com/office/drawing/2014/main" id="{00000000-0008-0000-0000-00008E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523875</xdr:colOff>
      <xdr:row>299</xdr:row>
      <xdr:rowOff>0</xdr:rowOff>
    </xdr:to>
    <xdr:graphicFrame macro="">
      <xdr:nvGraphicFramePr>
        <xdr:cNvPr id="3099791" name="Chart 4">
          <a:extLst>
            <a:ext uri="{FF2B5EF4-FFF2-40B4-BE49-F238E27FC236}">
              <a16:creationId xmlns:a16="http://schemas.microsoft.com/office/drawing/2014/main" id="{00000000-0008-0000-0000-00008F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495300</xdr:colOff>
      <xdr:row>299</xdr:row>
      <xdr:rowOff>0</xdr:rowOff>
    </xdr:to>
    <xdr:graphicFrame macro="">
      <xdr:nvGraphicFramePr>
        <xdr:cNvPr id="3099792" name="Chart 5">
          <a:extLst>
            <a:ext uri="{FF2B5EF4-FFF2-40B4-BE49-F238E27FC236}">
              <a16:creationId xmlns:a16="http://schemas.microsoft.com/office/drawing/2014/main" id="{00000000-0008-0000-0000-000090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514350</xdr:colOff>
      <xdr:row>299</xdr:row>
      <xdr:rowOff>0</xdr:rowOff>
    </xdr:to>
    <xdr:graphicFrame macro="">
      <xdr:nvGraphicFramePr>
        <xdr:cNvPr id="3099793" name="Chart 6">
          <a:extLst>
            <a:ext uri="{FF2B5EF4-FFF2-40B4-BE49-F238E27FC236}">
              <a16:creationId xmlns:a16="http://schemas.microsoft.com/office/drawing/2014/main" id="{00000000-0008-0000-0000-000091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333375</xdr:colOff>
      <xdr:row>299</xdr:row>
      <xdr:rowOff>0</xdr:rowOff>
    </xdr:to>
    <xdr:graphicFrame macro="">
      <xdr:nvGraphicFramePr>
        <xdr:cNvPr id="3099794" name="Chart 7">
          <a:extLst>
            <a:ext uri="{FF2B5EF4-FFF2-40B4-BE49-F238E27FC236}">
              <a16:creationId xmlns:a16="http://schemas.microsoft.com/office/drawing/2014/main" id="{00000000-0008-0000-0000-000092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504825</xdr:colOff>
      <xdr:row>299</xdr:row>
      <xdr:rowOff>0</xdr:rowOff>
    </xdr:to>
    <xdr:graphicFrame macro="">
      <xdr:nvGraphicFramePr>
        <xdr:cNvPr id="3099795" name="Chart 8">
          <a:extLst>
            <a:ext uri="{FF2B5EF4-FFF2-40B4-BE49-F238E27FC236}">
              <a16:creationId xmlns:a16="http://schemas.microsoft.com/office/drawing/2014/main" id="{00000000-0008-0000-0000-000093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514350</xdr:colOff>
      <xdr:row>299</xdr:row>
      <xdr:rowOff>0</xdr:rowOff>
    </xdr:to>
    <xdr:graphicFrame macro="">
      <xdr:nvGraphicFramePr>
        <xdr:cNvPr id="3099796" name="Chart 9">
          <a:extLst>
            <a:ext uri="{FF2B5EF4-FFF2-40B4-BE49-F238E27FC236}">
              <a16:creationId xmlns:a16="http://schemas.microsoft.com/office/drawing/2014/main" id="{00000000-0008-0000-0000-000094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10</xdr:col>
      <xdr:colOff>485775</xdr:colOff>
      <xdr:row>299</xdr:row>
      <xdr:rowOff>0</xdr:rowOff>
    </xdr:to>
    <xdr:graphicFrame macro="">
      <xdr:nvGraphicFramePr>
        <xdr:cNvPr id="3099797" name="Chart 10">
          <a:extLst>
            <a:ext uri="{FF2B5EF4-FFF2-40B4-BE49-F238E27FC236}">
              <a16:creationId xmlns:a16="http://schemas.microsoft.com/office/drawing/2014/main" id="{00000000-0008-0000-0000-000095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504825</xdr:colOff>
      <xdr:row>299</xdr:row>
      <xdr:rowOff>0</xdr:rowOff>
    </xdr:to>
    <xdr:graphicFrame macro="">
      <xdr:nvGraphicFramePr>
        <xdr:cNvPr id="3099798" name="Chart 11">
          <a:extLst>
            <a:ext uri="{FF2B5EF4-FFF2-40B4-BE49-F238E27FC236}">
              <a16:creationId xmlns:a16="http://schemas.microsoft.com/office/drawing/2014/main" id="{00000000-0008-0000-0000-000096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495300</xdr:colOff>
      <xdr:row>299</xdr:row>
      <xdr:rowOff>0</xdr:rowOff>
    </xdr:to>
    <xdr:graphicFrame macro="">
      <xdr:nvGraphicFramePr>
        <xdr:cNvPr id="3099799" name="Chart 12">
          <a:extLst>
            <a:ext uri="{FF2B5EF4-FFF2-40B4-BE49-F238E27FC236}">
              <a16:creationId xmlns:a16="http://schemas.microsoft.com/office/drawing/2014/main" id="{00000000-0008-0000-0000-000097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466725</xdr:colOff>
      <xdr:row>299</xdr:row>
      <xdr:rowOff>0</xdr:rowOff>
    </xdr:to>
    <xdr:graphicFrame macro="">
      <xdr:nvGraphicFramePr>
        <xdr:cNvPr id="3099800" name="Chart 13">
          <a:extLst>
            <a:ext uri="{FF2B5EF4-FFF2-40B4-BE49-F238E27FC236}">
              <a16:creationId xmlns:a16="http://schemas.microsoft.com/office/drawing/2014/main" id="{00000000-0008-0000-0000-000098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10</xdr:col>
      <xdr:colOff>466725</xdr:colOff>
      <xdr:row>299</xdr:row>
      <xdr:rowOff>0</xdr:rowOff>
    </xdr:to>
    <xdr:graphicFrame macro="">
      <xdr:nvGraphicFramePr>
        <xdr:cNvPr id="3099801" name="Chart 14">
          <a:extLst>
            <a:ext uri="{FF2B5EF4-FFF2-40B4-BE49-F238E27FC236}">
              <a16:creationId xmlns:a16="http://schemas.microsoft.com/office/drawing/2014/main" id="{00000000-0008-0000-0000-000099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485775</xdr:colOff>
      <xdr:row>299</xdr:row>
      <xdr:rowOff>0</xdr:rowOff>
    </xdr:to>
    <xdr:graphicFrame macro="">
      <xdr:nvGraphicFramePr>
        <xdr:cNvPr id="3099802" name="Chart 15">
          <a:extLst>
            <a:ext uri="{FF2B5EF4-FFF2-40B4-BE49-F238E27FC236}">
              <a16:creationId xmlns:a16="http://schemas.microsoft.com/office/drawing/2014/main" id="{00000000-0008-0000-0000-00009A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10</xdr:col>
      <xdr:colOff>504825</xdr:colOff>
      <xdr:row>299</xdr:row>
      <xdr:rowOff>0</xdr:rowOff>
    </xdr:to>
    <xdr:graphicFrame macro="">
      <xdr:nvGraphicFramePr>
        <xdr:cNvPr id="3099803" name="Chart 16">
          <a:extLst>
            <a:ext uri="{FF2B5EF4-FFF2-40B4-BE49-F238E27FC236}">
              <a16:creationId xmlns:a16="http://schemas.microsoft.com/office/drawing/2014/main" id="{00000000-0008-0000-0000-00009B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476250</xdr:colOff>
      <xdr:row>299</xdr:row>
      <xdr:rowOff>0</xdr:rowOff>
    </xdr:to>
    <xdr:graphicFrame macro="">
      <xdr:nvGraphicFramePr>
        <xdr:cNvPr id="3099804" name="Chart 17">
          <a:extLst>
            <a:ext uri="{FF2B5EF4-FFF2-40B4-BE49-F238E27FC236}">
              <a16:creationId xmlns:a16="http://schemas.microsoft.com/office/drawing/2014/main" id="{00000000-0008-0000-0000-00009C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10</xdr:col>
      <xdr:colOff>457200</xdr:colOff>
      <xdr:row>299</xdr:row>
      <xdr:rowOff>0</xdr:rowOff>
    </xdr:to>
    <xdr:graphicFrame macro="">
      <xdr:nvGraphicFramePr>
        <xdr:cNvPr id="3099805" name="Chart 18">
          <a:extLst>
            <a:ext uri="{FF2B5EF4-FFF2-40B4-BE49-F238E27FC236}">
              <a16:creationId xmlns:a16="http://schemas.microsoft.com/office/drawing/2014/main" id="{00000000-0008-0000-0000-00009D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495300</xdr:colOff>
      <xdr:row>299</xdr:row>
      <xdr:rowOff>0</xdr:rowOff>
    </xdr:to>
    <xdr:graphicFrame macro="">
      <xdr:nvGraphicFramePr>
        <xdr:cNvPr id="3099806" name="Chart 19">
          <a:extLst>
            <a:ext uri="{FF2B5EF4-FFF2-40B4-BE49-F238E27FC236}">
              <a16:creationId xmlns:a16="http://schemas.microsoft.com/office/drawing/2014/main" id="{00000000-0008-0000-0000-00009E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485775</xdr:colOff>
      <xdr:row>299</xdr:row>
      <xdr:rowOff>0</xdr:rowOff>
    </xdr:to>
    <xdr:graphicFrame macro="">
      <xdr:nvGraphicFramePr>
        <xdr:cNvPr id="3099807" name="Chart 20">
          <a:extLst>
            <a:ext uri="{FF2B5EF4-FFF2-40B4-BE49-F238E27FC236}">
              <a16:creationId xmlns:a16="http://schemas.microsoft.com/office/drawing/2014/main" id="{00000000-0008-0000-0000-00009F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10</xdr:col>
      <xdr:colOff>476250</xdr:colOff>
      <xdr:row>299</xdr:row>
      <xdr:rowOff>0</xdr:rowOff>
    </xdr:to>
    <xdr:graphicFrame macro="">
      <xdr:nvGraphicFramePr>
        <xdr:cNvPr id="3099808" name="Chart 21">
          <a:extLst>
            <a:ext uri="{FF2B5EF4-FFF2-40B4-BE49-F238E27FC236}">
              <a16:creationId xmlns:a16="http://schemas.microsoft.com/office/drawing/2014/main" id="{00000000-0008-0000-0000-0000A0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504825</xdr:colOff>
      <xdr:row>299</xdr:row>
      <xdr:rowOff>0</xdr:rowOff>
    </xdr:to>
    <xdr:graphicFrame macro="">
      <xdr:nvGraphicFramePr>
        <xdr:cNvPr id="3099809" name="Chart 22">
          <a:extLst>
            <a:ext uri="{FF2B5EF4-FFF2-40B4-BE49-F238E27FC236}">
              <a16:creationId xmlns:a16="http://schemas.microsoft.com/office/drawing/2014/main" id="{00000000-0008-0000-0000-0000A1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10</xdr:col>
      <xdr:colOff>457200</xdr:colOff>
      <xdr:row>299</xdr:row>
      <xdr:rowOff>0</xdr:rowOff>
    </xdr:to>
    <xdr:graphicFrame macro="">
      <xdr:nvGraphicFramePr>
        <xdr:cNvPr id="3099810" name="Chart 23">
          <a:extLst>
            <a:ext uri="{FF2B5EF4-FFF2-40B4-BE49-F238E27FC236}">
              <a16:creationId xmlns:a16="http://schemas.microsoft.com/office/drawing/2014/main" id="{00000000-0008-0000-0000-0000A2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476250</xdr:colOff>
      <xdr:row>299</xdr:row>
      <xdr:rowOff>0</xdr:rowOff>
    </xdr:to>
    <xdr:graphicFrame macro="">
      <xdr:nvGraphicFramePr>
        <xdr:cNvPr id="3099811" name="Chart 24">
          <a:extLst>
            <a:ext uri="{FF2B5EF4-FFF2-40B4-BE49-F238E27FC236}">
              <a16:creationId xmlns:a16="http://schemas.microsoft.com/office/drawing/2014/main" id="{00000000-0008-0000-0000-0000A3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47625</xdr:colOff>
      <xdr:row>299</xdr:row>
      <xdr:rowOff>0</xdr:rowOff>
    </xdr:from>
    <xdr:to>
      <xdr:col>16</xdr:col>
      <xdr:colOff>476250</xdr:colOff>
      <xdr:row>299</xdr:row>
      <xdr:rowOff>0</xdr:rowOff>
    </xdr:to>
    <xdr:graphicFrame macro="">
      <xdr:nvGraphicFramePr>
        <xdr:cNvPr id="3099812" name="Chart 25">
          <a:extLst>
            <a:ext uri="{FF2B5EF4-FFF2-40B4-BE49-F238E27FC236}">
              <a16:creationId xmlns:a16="http://schemas.microsoft.com/office/drawing/2014/main" id="{00000000-0008-0000-0000-0000A4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16</xdr:col>
      <xdr:colOff>466725</xdr:colOff>
      <xdr:row>299</xdr:row>
      <xdr:rowOff>0</xdr:rowOff>
    </xdr:to>
    <xdr:graphicFrame macro="">
      <xdr:nvGraphicFramePr>
        <xdr:cNvPr id="3099813" name="Chart 26">
          <a:extLst>
            <a:ext uri="{FF2B5EF4-FFF2-40B4-BE49-F238E27FC236}">
              <a16:creationId xmlns:a16="http://schemas.microsoft.com/office/drawing/2014/main" id="{00000000-0008-0000-0000-0000A5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14" name="Chart 27">
          <a:extLst>
            <a:ext uri="{FF2B5EF4-FFF2-40B4-BE49-F238E27FC236}">
              <a16:creationId xmlns:a16="http://schemas.microsoft.com/office/drawing/2014/main" id="{00000000-0008-0000-0000-0000A6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16</xdr:col>
      <xdr:colOff>485775</xdr:colOff>
      <xdr:row>299</xdr:row>
      <xdr:rowOff>0</xdr:rowOff>
    </xdr:to>
    <xdr:graphicFrame macro="">
      <xdr:nvGraphicFramePr>
        <xdr:cNvPr id="3099815" name="Chart 28">
          <a:extLst>
            <a:ext uri="{FF2B5EF4-FFF2-40B4-BE49-F238E27FC236}">
              <a16:creationId xmlns:a16="http://schemas.microsoft.com/office/drawing/2014/main" id="{00000000-0008-0000-0000-0000A7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495300</xdr:colOff>
      <xdr:row>299</xdr:row>
      <xdr:rowOff>0</xdr:rowOff>
    </xdr:to>
    <xdr:graphicFrame macro="">
      <xdr:nvGraphicFramePr>
        <xdr:cNvPr id="3099816" name="Chart 29">
          <a:extLst>
            <a:ext uri="{FF2B5EF4-FFF2-40B4-BE49-F238E27FC236}">
              <a16:creationId xmlns:a16="http://schemas.microsoft.com/office/drawing/2014/main" id="{00000000-0008-0000-0000-0000A8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495300</xdr:colOff>
      <xdr:row>299</xdr:row>
      <xdr:rowOff>0</xdr:rowOff>
    </xdr:to>
    <xdr:graphicFrame macro="">
      <xdr:nvGraphicFramePr>
        <xdr:cNvPr id="3099817" name="Chart 31">
          <a:extLst>
            <a:ext uri="{FF2B5EF4-FFF2-40B4-BE49-F238E27FC236}">
              <a16:creationId xmlns:a16="http://schemas.microsoft.com/office/drawing/2014/main" id="{00000000-0008-0000-0000-0000A9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17</xdr:col>
      <xdr:colOff>0</xdr:colOff>
      <xdr:row>299</xdr:row>
      <xdr:rowOff>0</xdr:rowOff>
    </xdr:to>
    <xdr:graphicFrame macro="">
      <xdr:nvGraphicFramePr>
        <xdr:cNvPr id="3099818" name="Chart 32">
          <a:extLst>
            <a:ext uri="{FF2B5EF4-FFF2-40B4-BE49-F238E27FC236}">
              <a16:creationId xmlns:a16="http://schemas.microsoft.com/office/drawing/2014/main" id="{00000000-0008-0000-0000-0000AA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19" name="Chart 33">
          <a:extLst>
            <a:ext uri="{FF2B5EF4-FFF2-40B4-BE49-F238E27FC236}">
              <a16:creationId xmlns:a16="http://schemas.microsoft.com/office/drawing/2014/main" id="{00000000-0008-0000-0000-0000AB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20" name="Chart 37">
          <a:extLst>
            <a:ext uri="{FF2B5EF4-FFF2-40B4-BE49-F238E27FC236}">
              <a16:creationId xmlns:a16="http://schemas.microsoft.com/office/drawing/2014/main" id="{00000000-0008-0000-0000-0000AC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21" name="Chart 40">
          <a:extLst>
            <a:ext uri="{FF2B5EF4-FFF2-40B4-BE49-F238E27FC236}">
              <a16:creationId xmlns:a16="http://schemas.microsoft.com/office/drawing/2014/main" id="{00000000-0008-0000-0000-0000AD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22" name="Chart 44">
          <a:extLst>
            <a:ext uri="{FF2B5EF4-FFF2-40B4-BE49-F238E27FC236}">
              <a16:creationId xmlns:a16="http://schemas.microsoft.com/office/drawing/2014/main" id="{00000000-0008-0000-0000-0000AE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23" name="Chart 47">
          <a:extLst>
            <a:ext uri="{FF2B5EF4-FFF2-40B4-BE49-F238E27FC236}">
              <a16:creationId xmlns:a16="http://schemas.microsoft.com/office/drawing/2014/main" id="{00000000-0008-0000-0000-0000AF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495300</xdr:colOff>
      <xdr:row>299</xdr:row>
      <xdr:rowOff>0</xdr:rowOff>
    </xdr:to>
    <xdr:graphicFrame macro="">
      <xdr:nvGraphicFramePr>
        <xdr:cNvPr id="3099824" name="Chart 48">
          <a:extLst>
            <a:ext uri="{FF2B5EF4-FFF2-40B4-BE49-F238E27FC236}">
              <a16:creationId xmlns:a16="http://schemas.microsoft.com/office/drawing/2014/main" id="{00000000-0008-0000-0000-0000B0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485775</xdr:colOff>
      <xdr:row>299</xdr:row>
      <xdr:rowOff>0</xdr:rowOff>
    </xdr:to>
    <xdr:graphicFrame macro="">
      <xdr:nvGraphicFramePr>
        <xdr:cNvPr id="3099825" name="Chart 49">
          <a:extLst>
            <a:ext uri="{FF2B5EF4-FFF2-40B4-BE49-F238E27FC236}">
              <a16:creationId xmlns:a16="http://schemas.microsoft.com/office/drawing/2014/main" id="{00000000-0008-0000-0000-0000B1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26" name="Chart 50">
          <a:extLst>
            <a:ext uri="{FF2B5EF4-FFF2-40B4-BE49-F238E27FC236}">
              <a16:creationId xmlns:a16="http://schemas.microsoft.com/office/drawing/2014/main" id="{00000000-0008-0000-0000-0000B2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16</xdr:col>
      <xdr:colOff>495300</xdr:colOff>
      <xdr:row>299</xdr:row>
      <xdr:rowOff>0</xdr:rowOff>
    </xdr:to>
    <xdr:graphicFrame macro="">
      <xdr:nvGraphicFramePr>
        <xdr:cNvPr id="3099827" name="Chart 51">
          <a:extLst>
            <a:ext uri="{FF2B5EF4-FFF2-40B4-BE49-F238E27FC236}">
              <a16:creationId xmlns:a16="http://schemas.microsoft.com/office/drawing/2014/main" id="{00000000-0008-0000-0000-0000B3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28" name="Chart 56">
          <a:extLst>
            <a:ext uri="{FF2B5EF4-FFF2-40B4-BE49-F238E27FC236}">
              <a16:creationId xmlns:a16="http://schemas.microsoft.com/office/drawing/2014/main" id="{00000000-0008-0000-0000-0000B4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29" name="Chart 60">
          <a:extLst>
            <a:ext uri="{FF2B5EF4-FFF2-40B4-BE49-F238E27FC236}">
              <a16:creationId xmlns:a16="http://schemas.microsoft.com/office/drawing/2014/main" id="{00000000-0008-0000-0000-0000B5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30" name="Chart 61">
          <a:extLst>
            <a:ext uri="{FF2B5EF4-FFF2-40B4-BE49-F238E27FC236}">
              <a16:creationId xmlns:a16="http://schemas.microsoft.com/office/drawing/2014/main" id="{00000000-0008-0000-0000-0000B6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31" name="Chart 62">
          <a:extLst>
            <a:ext uri="{FF2B5EF4-FFF2-40B4-BE49-F238E27FC236}">
              <a16:creationId xmlns:a16="http://schemas.microsoft.com/office/drawing/2014/main" id="{00000000-0008-0000-0000-0000B7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0</xdr:colOff>
      <xdr:row>299</xdr:row>
      <xdr:rowOff>0</xdr:rowOff>
    </xdr:from>
    <xdr:to>
      <xdr:col>16</xdr:col>
      <xdr:colOff>476250</xdr:colOff>
      <xdr:row>299</xdr:row>
      <xdr:rowOff>0</xdr:rowOff>
    </xdr:to>
    <xdr:graphicFrame macro="">
      <xdr:nvGraphicFramePr>
        <xdr:cNvPr id="3099832" name="Chart 65">
          <a:extLst>
            <a:ext uri="{FF2B5EF4-FFF2-40B4-BE49-F238E27FC236}">
              <a16:creationId xmlns:a16="http://schemas.microsoft.com/office/drawing/2014/main" id="{00000000-0008-0000-0000-0000B8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0</xdr:colOff>
      <xdr:row>202</xdr:row>
      <xdr:rowOff>121920</xdr:rowOff>
    </xdr:from>
    <xdr:to>
      <xdr:col>17</xdr:col>
      <xdr:colOff>20955</xdr:colOff>
      <xdr:row>233</xdr:row>
      <xdr:rowOff>160020</xdr:rowOff>
    </xdr:to>
    <xdr:graphicFrame macro="">
      <xdr:nvGraphicFramePr>
        <xdr:cNvPr id="3099833" name="Chart 87">
          <a:extLst>
            <a:ext uri="{FF2B5EF4-FFF2-40B4-BE49-F238E27FC236}">
              <a16:creationId xmlns:a16="http://schemas.microsoft.com/office/drawing/2014/main" id="{00000000-0008-0000-0000-0000B9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0</xdr:colOff>
      <xdr:row>0</xdr:row>
      <xdr:rowOff>78105</xdr:rowOff>
    </xdr:from>
    <xdr:to>
      <xdr:col>17</xdr:col>
      <xdr:colOff>70485</xdr:colOff>
      <xdr:row>34</xdr:row>
      <xdr:rowOff>102870</xdr:rowOff>
    </xdr:to>
    <xdr:graphicFrame macro="">
      <xdr:nvGraphicFramePr>
        <xdr:cNvPr id="3099834" name="Chart 100">
          <a:extLst>
            <a:ext uri="{FF2B5EF4-FFF2-40B4-BE49-F238E27FC236}">
              <a16:creationId xmlns:a16="http://schemas.microsoft.com/office/drawing/2014/main" id="{00000000-0008-0000-0000-0000BA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36</xdr:row>
      <xdr:rowOff>116205</xdr:rowOff>
    </xdr:from>
    <xdr:to>
      <xdr:col>17</xdr:col>
      <xdr:colOff>45720</xdr:colOff>
      <xdr:row>68</xdr:row>
      <xdr:rowOff>34290</xdr:rowOff>
    </xdr:to>
    <xdr:graphicFrame macro="">
      <xdr:nvGraphicFramePr>
        <xdr:cNvPr id="3099835" name="Chart 101">
          <a:extLst>
            <a:ext uri="{FF2B5EF4-FFF2-40B4-BE49-F238E27FC236}">
              <a16:creationId xmlns:a16="http://schemas.microsoft.com/office/drawing/2014/main" id="{00000000-0008-0000-0000-0000BB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363</xdr:row>
      <xdr:rowOff>40004</xdr:rowOff>
    </xdr:from>
    <xdr:to>
      <xdr:col>17</xdr:col>
      <xdr:colOff>133350</xdr:colOff>
      <xdr:row>400</xdr:row>
      <xdr:rowOff>169545</xdr:rowOff>
    </xdr:to>
    <xdr:graphicFrame macro="">
      <xdr:nvGraphicFramePr>
        <xdr:cNvPr id="3099837" name="Chart 103">
          <a:extLst>
            <a:ext uri="{FF2B5EF4-FFF2-40B4-BE49-F238E27FC236}">
              <a16:creationId xmlns:a16="http://schemas.microsoft.com/office/drawing/2014/main" id="{00000000-0008-0000-0000-0000BD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404</xdr:row>
      <xdr:rowOff>129540</xdr:rowOff>
    </xdr:from>
    <xdr:to>
      <xdr:col>16</xdr:col>
      <xdr:colOff>413385</xdr:colOff>
      <xdr:row>438</xdr:row>
      <xdr:rowOff>152400</xdr:rowOff>
    </xdr:to>
    <xdr:graphicFrame macro="">
      <xdr:nvGraphicFramePr>
        <xdr:cNvPr id="3099838" name="Chart 54">
          <a:extLst>
            <a:ext uri="{FF2B5EF4-FFF2-40B4-BE49-F238E27FC236}">
              <a16:creationId xmlns:a16="http://schemas.microsoft.com/office/drawing/2014/main" id="{00000000-0008-0000-0000-0000BE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19050</xdr:colOff>
      <xdr:row>70</xdr:row>
      <xdr:rowOff>59055</xdr:rowOff>
    </xdr:from>
    <xdr:to>
      <xdr:col>17</xdr:col>
      <xdr:colOff>30480</xdr:colOff>
      <xdr:row>106</xdr:row>
      <xdr:rowOff>59055</xdr:rowOff>
    </xdr:to>
    <xdr:graphicFrame macro="">
      <xdr:nvGraphicFramePr>
        <xdr:cNvPr id="3099839" name="Diagramma 1">
          <a:extLst>
            <a:ext uri="{FF2B5EF4-FFF2-40B4-BE49-F238E27FC236}">
              <a16:creationId xmlns:a16="http://schemas.microsoft.com/office/drawing/2014/main" id="{00000000-0008-0000-0000-0000BF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28575</xdr:colOff>
      <xdr:row>109</xdr:row>
      <xdr:rowOff>110490</xdr:rowOff>
    </xdr:from>
    <xdr:to>
      <xdr:col>17</xdr:col>
      <xdr:colOff>28575</xdr:colOff>
      <xdr:row>137</xdr:row>
      <xdr:rowOff>15240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59691DD2-A5ED-86AC-A94E-8CD1A9B71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0</xdr:colOff>
      <xdr:row>139</xdr:row>
      <xdr:rowOff>59055</xdr:rowOff>
    </xdr:from>
    <xdr:to>
      <xdr:col>17</xdr:col>
      <xdr:colOff>131445</xdr:colOff>
      <xdr:row>176</xdr:row>
      <xdr:rowOff>47625</xdr:rowOff>
    </xdr:to>
    <xdr:graphicFrame macro="">
      <xdr:nvGraphicFramePr>
        <xdr:cNvPr id="3" name="Chart 102">
          <a:extLst>
            <a:ext uri="{FF2B5EF4-FFF2-40B4-BE49-F238E27FC236}">
              <a16:creationId xmlns:a16="http://schemas.microsoft.com/office/drawing/2014/main" id="{BCE4113F-2B23-4FDD-B334-0236F7B3F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0</xdr:colOff>
      <xdr:row>178</xdr:row>
      <xdr:rowOff>57150</xdr:rowOff>
    </xdr:from>
    <xdr:to>
      <xdr:col>17</xdr:col>
      <xdr:colOff>152400</xdr:colOff>
      <xdr:row>200</xdr:row>
      <xdr:rowOff>49529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F6BCA868-8814-19EF-FED0-2F10242BA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W441"/>
  <sheetViews>
    <sheetView tabSelected="1" workbookViewId="0">
      <selection activeCell="V39" sqref="V39"/>
    </sheetView>
  </sheetViews>
  <sheetFormatPr defaultColWidth="9.33203125" defaultRowHeight="13.2" outlineLevelRow="1" x14ac:dyDescent="0.25"/>
  <cols>
    <col min="1" max="1" width="31" style="8" bestFit="1" customWidth="1"/>
    <col min="2" max="7" width="9.6640625" style="1" customWidth="1"/>
    <col min="8" max="9" width="10.6640625" style="1" customWidth="1"/>
    <col min="10" max="10" width="12.33203125" style="1" customWidth="1"/>
    <col min="11" max="11" width="8.44140625" style="1" customWidth="1"/>
    <col min="12" max="16" width="4.77734375" style="1" customWidth="1"/>
    <col min="17" max="17" width="12.33203125" style="1" customWidth="1"/>
    <col min="18" max="18" width="3.77734375" style="1" customWidth="1"/>
    <col min="19" max="19" width="1.33203125" style="2" customWidth="1"/>
    <col min="20" max="20" width="6.109375" style="27" customWidth="1"/>
    <col min="21" max="21" width="9.33203125" style="42"/>
    <col min="22" max="153" width="9.33203125" style="27"/>
    <col min="154" max="16384" width="9.33203125" style="1"/>
  </cols>
  <sheetData>
    <row r="2" spans="1:5" x14ac:dyDescent="0.25">
      <c r="C2" s="1" t="s">
        <v>41</v>
      </c>
      <c r="D2" s="1" t="s">
        <v>39</v>
      </c>
      <c r="E2" s="1" t="s">
        <v>40</v>
      </c>
    </row>
    <row r="3" spans="1:5" x14ac:dyDescent="0.25">
      <c r="A3" s="8">
        <v>1995</v>
      </c>
      <c r="C3" s="4">
        <f>90/0.702804</f>
        <v>128.05846295695528</v>
      </c>
      <c r="D3" s="4">
        <f>87/0.702804</f>
        <v>123.78984752505677</v>
      </c>
      <c r="E3" s="4"/>
    </row>
    <row r="4" spans="1:5" x14ac:dyDescent="0.25">
      <c r="A4" s="8">
        <v>2000</v>
      </c>
      <c r="B4" s="4"/>
      <c r="C4" s="4">
        <f>150/0.702804</f>
        <v>213.43077159492549</v>
      </c>
      <c r="D4" s="4">
        <f>134/0.702804</f>
        <v>190.66482262480008</v>
      </c>
      <c r="E4" s="4"/>
    </row>
    <row r="5" spans="1:5" hidden="1" outlineLevel="1" x14ac:dyDescent="0.25">
      <c r="A5" s="8">
        <v>2001</v>
      </c>
      <c r="B5" s="4"/>
      <c r="C5" s="4">
        <f>159/0.702804</f>
        <v>226.23661789062101</v>
      </c>
      <c r="D5" s="4">
        <f>148/0.702804</f>
        <v>210.58502797365981</v>
      </c>
      <c r="E5" s="4"/>
    </row>
    <row r="6" spans="1:5" hidden="1" outlineLevel="1" x14ac:dyDescent="0.25">
      <c r="A6" s="8">
        <v>2002</v>
      </c>
      <c r="B6" s="4"/>
      <c r="C6" s="4">
        <f>173/0.702804</f>
        <v>246.1568232394807</v>
      </c>
      <c r="D6" s="4">
        <f>169/0.702804</f>
        <v>240.46533599694936</v>
      </c>
      <c r="E6" s="4"/>
    </row>
    <row r="7" spans="1:5" hidden="1" outlineLevel="1" x14ac:dyDescent="0.25">
      <c r="A7" s="8">
        <v>2003</v>
      </c>
      <c r="B7" s="4"/>
      <c r="C7" s="4">
        <f>192/0.702804</f>
        <v>273.1913876415046</v>
      </c>
      <c r="D7" s="4">
        <f>170/0.702804</f>
        <v>241.88820780758221</v>
      </c>
      <c r="E7" s="4"/>
    </row>
    <row r="8" spans="1:5" hidden="1" outlineLevel="1" x14ac:dyDescent="0.25">
      <c r="A8" s="8">
        <v>2004</v>
      </c>
      <c r="B8" s="4"/>
      <c r="C8" s="4">
        <f>211/0.702804</f>
        <v>300.22595204352848</v>
      </c>
      <c r="D8" s="4">
        <f>188/0.702804</f>
        <v>267.49990039897324</v>
      </c>
      <c r="E8" s="4">
        <f>71.09/0.702804</f>
        <v>101.15195701788835</v>
      </c>
    </row>
    <row r="9" spans="1:5" collapsed="1" x14ac:dyDescent="0.25">
      <c r="A9" s="8">
        <v>2005</v>
      </c>
      <c r="B9" s="4"/>
      <c r="C9" s="4">
        <f>246/0.702804</f>
        <v>350.02646541567776</v>
      </c>
      <c r="D9" s="4">
        <f>205.66/0.702804</f>
        <v>292.62781657474915</v>
      </c>
      <c r="E9" s="4">
        <f>81.71/0.702804</f>
        <v>116.26285564680906</v>
      </c>
    </row>
    <row r="10" spans="1:5" hidden="1" outlineLevel="1" x14ac:dyDescent="0.25">
      <c r="A10" s="8">
        <v>2006</v>
      </c>
      <c r="B10" s="4"/>
      <c r="C10" s="4">
        <f>302/0.702804</f>
        <v>429.7072868111166</v>
      </c>
      <c r="D10" s="4">
        <f>249/0.702804</f>
        <v>354.29508084757629</v>
      </c>
      <c r="E10" s="4">
        <f>95/0.702804</f>
        <v>135.17282201011946</v>
      </c>
    </row>
    <row r="11" spans="1:5" hidden="1" outlineLevel="1" x14ac:dyDescent="0.25">
      <c r="A11" s="8">
        <v>2007</v>
      </c>
      <c r="B11" s="4"/>
      <c r="C11" s="4">
        <f>380/0.702804</f>
        <v>540.69128804047784</v>
      </c>
      <c r="D11" s="4">
        <f>348/0.702804</f>
        <v>495.15939010022709</v>
      </c>
      <c r="E11" s="4">
        <f>120/0.702804</f>
        <v>170.74461727594039</v>
      </c>
    </row>
    <row r="12" spans="1:5" hidden="1" outlineLevel="1" x14ac:dyDescent="0.25">
      <c r="A12" s="8">
        <v>2008</v>
      </c>
      <c r="C12" s="4">
        <f>456/0.702804</f>
        <v>648.82954564857346</v>
      </c>
      <c r="D12" s="4">
        <f>416/0.702804</f>
        <v>591.91467322326002</v>
      </c>
      <c r="E12" s="4">
        <f>135/0.702804</f>
        <v>192.08769443543292</v>
      </c>
    </row>
    <row r="13" spans="1:5" hidden="1" outlineLevel="1" x14ac:dyDescent="0.25">
      <c r="A13" s="8">
        <v>2009</v>
      </c>
      <c r="B13" s="4"/>
      <c r="C13" s="4">
        <f>418/0.702804</f>
        <v>594.76041684452571</v>
      </c>
      <c r="D13" s="4">
        <f>379/0.702804</f>
        <v>539.268416229845</v>
      </c>
      <c r="E13" s="4">
        <f>164/0.702804</f>
        <v>233.35097694378518</v>
      </c>
    </row>
    <row r="14" spans="1:5" collapsed="1" x14ac:dyDescent="0.25">
      <c r="A14" s="8">
        <v>2010</v>
      </c>
      <c r="C14" s="4">
        <f>403/0.702804</f>
        <v>573.41733968503308</v>
      </c>
      <c r="D14" s="4">
        <f>367/0.702804</f>
        <v>522.19395450225102</v>
      </c>
      <c r="E14" s="4">
        <f>182/0.702804</f>
        <v>258.96266953517625</v>
      </c>
    </row>
    <row r="15" spans="1:5" hidden="1" outlineLevel="1" x14ac:dyDescent="0.25">
      <c r="A15" s="8">
        <v>2011</v>
      </c>
      <c r="B15" s="4"/>
      <c r="C15" s="4">
        <f>407/0.702804</f>
        <v>579.10882692756445</v>
      </c>
      <c r="D15" s="4">
        <f>370/0.702804</f>
        <v>526.46256993414954</v>
      </c>
      <c r="E15" s="4">
        <f>178.3/0.702804</f>
        <v>253.69804383583477</v>
      </c>
    </row>
    <row r="16" spans="1:5" hidden="1" outlineLevel="1" x14ac:dyDescent="0.25">
      <c r="A16" s="31">
        <v>2012</v>
      </c>
      <c r="B16" s="4"/>
      <c r="C16" s="4">
        <f>421/0.702804</f>
        <v>599.02903227642412</v>
      </c>
      <c r="D16" s="4">
        <f>395/0.702804</f>
        <v>562.03436519997047</v>
      </c>
      <c r="E16" s="4">
        <f>180.45/0.702804</f>
        <v>256.75721822869531</v>
      </c>
    </row>
    <row r="17" spans="1:5" hidden="1" outlineLevel="1" x14ac:dyDescent="0.25">
      <c r="A17" s="8">
        <v>2013</v>
      </c>
      <c r="C17" s="4">
        <v>626.36</v>
      </c>
      <c r="D17" s="4">
        <v>566.61</v>
      </c>
      <c r="E17" s="4">
        <f>183.43/0.702804</f>
        <v>260.99737622438118</v>
      </c>
    </row>
    <row r="18" spans="1:5" hidden="1" outlineLevel="1" x14ac:dyDescent="0.25">
      <c r="A18" s="8">
        <v>2014</v>
      </c>
      <c r="C18" s="4">
        <v>654.53</v>
      </c>
      <c r="D18" s="4">
        <v>592.04</v>
      </c>
      <c r="E18" s="4">
        <f>268.27</f>
        <v>268.27</v>
      </c>
    </row>
    <row r="19" spans="1:5" collapsed="1" x14ac:dyDescent="0.25">
      <c r="A19" s="8">
        <v>2015</v>
      </c>
      <c r="C19" s="1">
        <v>693</v>
      </c>
      <c r="D19" s="1">
        <v>624</v>
      </c>
      <c r="E19" s="4">
        <v>274.97000000000003</v>
      </c>
    </row>
    <row r="20" spans="1:5" hidden="1" outlineLevel="1" x14ac:dyDescent="0.25">
      <c r="A20" s="8">
        <v>2016</v>
      </c>
      <c r="C20" s="1">
        <v>743</v>
      </c>
      <c r="D20" s="1">
        <v>660</v>
      </c>
      <c r="E20" s="1">
        <v>281</v>
      </c>
    </row>
    <row r="21" spans="1:5" hidden="1" outlineLevel="1" x14ac:dyDescent="0.25">
      <c r="A21" s="8">
        <v>2017</v>
      </c>
      <c r="C21" s="1">
        <v>813</v>
      </c>
      <c r="D21" s="1">
        <v>719</v>
      </c>
      <c r="E21" s="1">
        <v>290</v>
      </c>
    </row>
    <row r="22" spans="1:5" hidden="1" outlineLevel="1" x14ac:dyDescent="0.25">
      <c r="A22" s="8">
        <v>2018</v>
      </c>
      <c r="C22" s="1">
        <v>887</v>
      </c>
      <c r="D22" s="1">
        <v>776</v>
      </c>
      <c r="E22" s="4">
        <v>314.42</v>
      </c>
    </row>
    <row r="23" spans="1:5" hidden="1" outlineLevel="1" x14ac:dyDescent="0.25">
      <c r="A23" s="8">
        <v>2019</v>
      </c>
      <c r="C23" s="1">
        <v>953</v>
      </c>
      <c r="D23" s="1">
        <v>830</v>
      </c>
      <c r="E23" s="1">
        <v>341</v>
      </c>
    </row>
    <row r="24" spans="1:5" collapsed="1" x14ac:dyDescent="0.25">
      <c r="A24" s="8">
        <v>2020</v>
      </c>
      <c r="C24" s="1">
        <v>989</v>
      </c>
      <c r="D24" s="1">
        <v>867</v>
      </c>
      <c r="E24" s="1">
        <v>368</v>
      </c>
    </row>
    <row r="25" spans="1:5" x14ac:dyDescent="0.25">
      <c r="A25" s="8">
        <v>2021</v>
      </c>
      <c r="C25" s="1">
        <v>1128</v>
      </c>
      <c r="D25" s="1">
        <v>982</v>
      </c>
      <c r="E25" s="1">
        <v>392</v>
      </c>
    </row>
    <row r="26" spans="1:5" x14ac:dyDescent="0.25">
      <c r="A26" s="8">
        <v>2022</v>
      </c>
      <c r="C26" s="1">
        <v>1275</v>
      </c>
      <c r="D26" s="1">
        <v>1103</v>
      </c>
      <c r="E26" s="1">
        <v>450</v>
      </c>
    </row>
    <row r="27" spans="1:5" x14ac:dyDescent="0.25">
      <c r="A27" s="8">
        <v>2023</v>
      </c>
      <c r="C27" s="1">
        <v>1430</v>
      </c>
      <c r="D27" s="1">
        <v>1232</v>
      </c>
      <c r="E27" s="1">
        <v>515</v>
      </c>
    </row>
    <row r="28" spans="1:5" x14ac:dyDescent="0.25">
      <c r="A28" s="8">
        <v>2024</v>
      </c>
      <c r="C28" s="1">
        <v>1558</v>
      </c>
      <c r="D28" s="1">
        <v>1342</v>
      </c>
      <c r="E28" s="1">
        <v>550</v>
      </c>
    </row>
    <row r="36" spans="1:153" s="2" customFormat="1" ht="5.25" customHeight="1" x14ac:dyDescent="0.25">
      <c r="A36" s="32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</row>
    <row r="38" spans="1:153" x14ac:dyDescent="0.25">
      <c r="B38" s="1" t="s">
        <v>35</v>
      </c>
      <c r="C38" s="10" t="s">
        <v>36</v>
      </c>
      <c r="D38" s="1" t="s">
        <v>37</v>
      </c>
    </row>
    <row r="39" spans="1:153" x14ac:dyDescent="0.25">
      <c r="A39" s="14">
        <v>2003</v>
      </c>
      <c r="B39" s="19">
        <f>170.17/0.702804</f>
        <v>242.13009601538977</v>
      </c>
      <c r="C39" s="19">
        <f>185/0.702804</f>
        <v>263.23128496707477</v>
      </c>
      <c r="D39" s="12"/>
      <c r="E39" s="12"/>
    </row>
    <row r="40" spans="1:153" x14ac:dyDescent="0.25">
      <c r="A40" s="14">
        <v>2004</v>
      </c>
      <c r="B40" s="19">
        <f>188.356/0.702804</f>
        <v>268.00644276355854</v>
      </c>
      <c r="C40" s="19">
        <f>216/0.702804</f>
        <v>307.34031109669269</v>
      </c>
      <c r="D40" s="12"/>
      <c r="E40" s="12"/>
    </row>
    <row r="41" spans="1:153" x14ac:dyDescent="0.25">
      <c r="A41" s="14">
        <v>2005</v>
      </c>
      <c r="B41" s="19">
        <f>205.66/0.702804</f>
        <v>292.62781657474915</v>
      </c>
      <c r="C41" s="19">
        <f>247/0.702804</f>
        <v>351.4493372263106</v>
      </c>
      <c r="D41" s="12"/>
      <c r="E41" s="12"/>
    </row>
    <row r="42" spans="1:153" hidden="1" outlineLevel="1" x14ac:dyDescent="0.25">
      <c r="A42" s="14">
        <v>2006</v>
      </c>
      <c r="B42" s="19">
        <f>249/0.702804</f>
        <v>354.29508084757629</v>
      </c>
      <c r="C42" s="19">
        <f>301/0.702804</f>
        <v>428.28441500048376</v>
      </c>
      <c r="D42" s="12"/>
      <c r="E42" s="12"/>
    </row>
    <row r="43" spans="1:153" hidden="1" outlineLevel="1" x14ac:dyDescent="0.25">
      <c r="A43" s="14">
        <v>2007</v>
      </c>
      <c r="B43" s="19">
        <f>348/0.702804</f>
        <v>495.15939010022709</v>
      </c>
      <c r="C43" s="19">
        <f>405/0.702804</f>
        <v>576.26308330629877</v>
      </c>
      <c r="D43" s="19">
        <f>417/0.702804</f>
        <v>593.33754503389287</v>
      </c>
      <c r="E43" s="12"/>
    </row>
    <row r="44" spans="1:153" hidden="1" outlineLevel="1" x14ac:dyDescent="0.25">
      <c r="A44" s="14">
        <v>2008</v>
      </c>
      <c r="B44" s="19">
        <f>416/0.702804</f>
        <v>591.91467322326002</v>
      </c>
      <c r="C44" s="19">
        <f>478/0.702804</f>
        <v>680.13272548249586</v>
      </c>
      <c r="D44" s="19">
        <f>487/0.702804</f>
        <v>692.93857177819143</v>
      </c>
      <c r="E44" s="12"/>
    </row>
    <row r="45" spans="1:153" hidden="1" outlineLevel="1" x14ac:dyDescent="0.25">
      <c r="A45" s="14">
        <v>2009</v>
      </c>
      <c r="B45" s="19">
        <f>379/0.702804</f>
        <v>539.268416229845</v>
      </c>
      <c r="C45" s="19">
        <f>436/0.702804</f>
        <v>620.37210943591674</v>
      </c>
      <c r="D45" s="19">
        <f>432/0.702804</f>
        <v>614.68062219338537</v>
      </c>
      <c r="E45" s="12"/>
    </row>
    <row r="46" spans="1:153" collapsed="1" x14ac:dyDescent="0.25">
      <c r="A46" s="14">
        <v>2010</v>
      </c>
      <c r="B46" s="19">
        <f>367/0.702804</f>
        <v>522.19395450225102</v>
      </c>
      <c r="C46" s="19">
        <f>401/0.702804</f>
        <v>570.5715960637674</v>
      </c>
      <c r="D46" s="19">
        <f>454/0.702804</f>
        <v>645.98380202730777</v>
      </c>
      <c r="E46" s="12"/>
    </row>
    <row r="47" spans="1:153" hidden="1" outlineLevel="1" x14ac:dyDescent="0.25">
      <c r="A47" s="14">
        <v>2011</v>
      </c>
      <c r="B47" s="19">
        <f>370/0.702804</f>
        <v>526.46256993414954</v>
      </c>
      <c r="C47" s="19">
        <f>414/0.702804</f>
        <v>589.06892960199434</v>
      </c>
      <c r="D47" s="19">
        <f>464/0.702804</f>
        <v>660.21252013363619</v>
      </c>
      <c r="E47" s="12"/>
    </row>
    <row r="48" spans="1:153" hidden="1" outlineLevel="1" x14ac:dyDescent="0.25">
      <c r="A48" s="20">
        <v>2012</v>
      </c>
      <c r="B48" s="19">
        <f>395/0.702804</f>
        <v>562.03436519997047</v>
      </c>
      <c r="C48" s="19">
        <f>430/0.702804</f>
        <v>611.83487857211969</v>
      </c>
      <c r="D48" s="19">
        <f>519/0.702804</f>
        <v>738.47046971844213</v>
      </c>
      <c r="E48" s="12"/>
    </row>
    <row r="49" spans="1:5" hidden="1" outlineLevel="1" x14ac:dyDescent="0.25">
      <c r="A49" s="14">
        <v>2013</v>
      </c>
      <c r="B49" s="19">
        <v>566.61</v>
      </c>
      <c r="C49" s="19">
        <v>662</v>
      </c>
      <c r="D49" s="19">
        <v>693</v>
      </c>
      <c r="E49" s="12"/>
    </row>
    <row r="50" spans="1:5" hidden="1" outlineLevel="1" x14ac:dyDescent="0.25">
      <c r="A50" s="14">
        <v>2014</v>
      </c>
      <c r="B50" s="19">
        <v>592.04</v>
      </c>
      <c r="C50" s="19">
        <v>684</v>
      </c>
      <c r="D50" s="19">
        <v>783</v>
      </c>
      <c r="E50" s="12"/>
    </row>
    <row r="51" spans="1:5" collapsed="1" x14ac:dyDescent="0.25">
      <c r="A51" s="14">
        <v>2015</v>
      </c>
      <c r="B51" s="12">
        <v>624</v>
      </c>
      <c r="C51" s="12">
        <v>725</v>
      </c>
      <c r="D51" s="12">
        <v>890</v>
      </c>
      <c r="E51" s="12"/>
    </row>
    <row r="52" spans="1:5" hidden="1" outlineLevel="1" x14ac:dyDescent="0.25">
      <c r="A52" s="14">
        <v>2016</v>
      </c>
      <c r="B52" s="12">
        <v>660</v>
      </c>
      <c r="C52" s="12">
        <v>760</v>
      </c>
      <c r="D52" s="12">
        <v>946</v>
      </c>
      <c r="E52" s="12"/>
    </row>
    <row r="53" spans="1:5" hidden="1" outlineLevel="1" x14ac:dyDescent="0.25">
      <c r="A53" s="14">
        <v>2017</v>
      </c>
      <c r="B53" s="12">
        <v>719</v>
      </c>
      <c r="C53" s="12">
        <v>823</v>
      </c>
      <c r="D53" s="12">
        <v>977</v>
      </c>
      <c r="E53" s="12"/>
    </row>
    <row r="54" spans="1:5" hidden="1" outlineLevel="1" x14ac:dyDescent="0.25">
      <c r="A54" s="14">
        <v>2018</v>
      </c>
      <c r="B54" s="12">
        <v>776</v>
      </c>
      <c r="C54" s="12">
        <v>873</v>
      </c>
      <c r="D54" s="12">
        <v>1073</v>
      </c>
      <c r="E54" s="12"/>
    </row>
    <row r="55" spans="1:5" hidden="1" outlineLevel="1" x14ac:dyDescent="0.25">
      <c r="A55" s="14">
        <v>2019</v>
      </c>
      <c r="B55" s="12">
        <v>830</v>
      </c>
      <c r="C55" s="12">
        <v>939</v>
      </c>
      <c r="D55" s="12">
        <v>1158</v>
      </c>
      <c r="E55" s="12"/>
    </row>
    <row r="56" spans="1:5" collapsed="1" x14ac:dyDescent="0.25">
      <c r="A56" s="8">
        <v>2020</v>
      </c>
      <c r="B56" s="1">
        <v>867</v>
      </c>
      <c r="C56" s="1">
        <v>1038</v>
      </c>
      <c r="D56" s="1">
        <v>1245</v>
      </c>
    </row>
    <row r="57" spans="1:5" x14ac:dyDescent="0.25">
      <c r="A57" s="8">
        <v>2021</v>
      </c>
      <c r="B57" s="1">
        <v>982</v>
      </c>
      <c r="C57" s="1">
        <v>1152</v>
      </c>
      <c r="D57" s="1">
        <v>1389</v>
      </c>
    </row>
    <row r="58" spans="1:5" x14ac:dyDescent="0.25">
      <c r="A58" s="8">
        <v>2022</v>
      </c>
      <c r="B58" s="1">
        <v>1103</v>
      </c>
      <c r="C58" s="1">
        <v>1221</v>
      </c>
    </row>
    <row r="59" spans="1:5" x14ac:dyDescent="0.25">
      <c r="A59" s="8">
        <v>2023</v>
      </c>
      <c r="B59" s="1">
        <v>1232</v>
      </c>
      <c r="C59" s="1">
        <v>1366</v>
      </c>
    </row>
    <row r="60" spans="1:5" x14ac:dyDescent="0.25">
      <c r="A60" s="8">
        <v>2024</v>
      </c>
      <c r="B60" s="1">
        <v>1342</v>
      </c>
      <c r="C60" s="1">
        <v>1541</v>
      </c>
    </row>
    <row r="64" spans="1:5" ht="12.6" customHeight="1" x14ac:dyDescent="0.25"/>
    <row r="70" spans="1:153" s="2" customFormat="1" ht="5.25" customHeight="1" x14ac:dyDescent="0.25">
      <c r="A70" s="32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</row>
    <row r="72" spans="1:153" x14ac:dyDescent="0.25">
      <c r="B72" s="1" t="s">
        <v>0</v>
      </c>
      <c r="C72" s="1" t="s">
        <v>1</v>
      </c>
      <c r="D72" s="1" t="s">
        <v>2</v>
      </c>
      <c r="E72" s="1" t="s">
        <v>3</v>
      </c>
      <c r="F72" s="1" t="s">
        <v>27</v>
      </c>
      <c r="G72" s="1" t="s">
        <v>4</v>
      </c>
      <c r="H72" s="1" t="s">
        <v>5</v>
      </c>
      <c r="I72" s="1" t="s">
        <v>29</v>
      </c>
      <c r="J72" s="1" t="s">
        <v>30</v>
      </c>
      <c r="K72" s="1" t="s">
        <v>7</v>
      </c>
    </row>
    <row r="73" spans="1:153" x14ac:dyDescent="0.25">
      <c r="A73" s="8">
        <v>2005</v>
      </c>
      <c r="B73" s="4">
        <f>246/0.702804</f>
        <v>350.02646541567776</v>
      </c>
      <c r="C73" s="4">
        <f>266/0.702804</f>
        <v>378.48390162833454</v>
      </c>
      <c r="D73" s="4">
        <f>190/0.702804</f>
        <v>270.34564402023892</v>
      </c>
      <c r="E73" s="4">
        <f>240/0.702804</f>
        <v>341.48923455188077</v>
      </c>
      <c r="F73" s="4"/>
      <c r="G73" s="4">
        <f>258/0.702804</f>
        <v>367.1009271432718</v>
      </c>
      <c r="H73" s="4">
        <f>206/0.702804</f>
        <v>293.11159299036433</v>
      </c>
      <c r="I73" s="4">
        <f>205/0.702804</f>
        <v>291.68872117973149</v>
      </c>
      <c r="J73" s="4"/>
      <c r="K73" s="4">
        <f>264/0.702804</f>
        <v>375.63815800706885</v>
      </c>
    </row>
    <row r="74" spans="1:153" hidden="1" outlineLevel="1" x14ac:dyDescent="0.25">
      <c r="A74" s="8">
        <v>2006</v>
      </c>
      <c r="B74" s="4">
        <f>302/0.702804</f>
        <v>429.7072868111166</v>
      </c>
      <c r="C74" s="4">
        <f>323/0.702804</f>
        <v>459.58759483440616</v>
      </c>
      <c r="D74" s="4">
        <f>199/0.702804</f>
        <v>283.15149031593444</v>
      </c>
      <c r="E74" s="4">
        <f>233/0.702804</f>
        <v>331.52913187745088</v>
      </c>
      <c r="G74" s="4">
        <f>207/0.702804</f>
        <v>294.53446480099717</v>
      </c>
      <c r="H74" s="4">
        <f>249/0.702804</f>
        <v>354.29508084757629</v>
      </c>
      <c r="I74" s="4">
        <f>212/0.702804</f>
        <v>301.64882385416132</v>
      </c>
      <c r="K74" s="4">
        <f>303/0.702804</f>
        <v>431.13015862174944</v>
      </c>
    </row>
    <row r="75" spans="1:153" hidden="1" outlineLevel="1" x14ac:dyDescent="0.25">
      <c r="A75" s="8">
        <v>2007</v>
      </c>
      <c r="B75" s="4">
        <f>380/0.702804</f>
        <v>540.69128804047784</v>
      </c>
      <c r="C75" s="4">
        <f>431/0.702804</f>
        <v>613.25775038275253</v>
      </c>
      <c r="D75" s="4">
        <f>307/0.702804</f>
        <v>436.82164586428081</v>
      </c>
      <c r="E75" s="4">
        <f>403/0.702804</f>
        <v>573.41733968503308</v>
      </c>
      <c r="G75" s="4">
        <f>418/0.702804</f>
        <v>594.76041684452571</v>
      </c>
      <c r="H75" s="4">
        <f>348/0.702804</f>
        <v>495.15939010022709</v>
      </c>
      <c r="I75" s="4">
        <f>334/0.702804</f>
        <v>475.23918475136742</v>
      </c>
      <c r="K75" s="4">
        <f>423/0.702804</f>
        <v>601.8747758976898</v>
      </c>
    </row>
    <row r="76" spans="1:153" hidden="1" outlineLevel="1" x14ac:dyDescent="0.25">
      <c r="A76" s="8">
        <v>2008</v>
      </c>
      <c r="B76" s="4">
        <f>456/0.702804</f>
        <v>648.82954564857346</v>
      </c>
      <c r="C76" s="4">
        <f>512/0.702804</f>
        <v>728.51036704401224</v>
      </c>
      <c r="D76" s="4">
        <f>375/0.702804</f>
        <v>533.57692898731364</v>
      </c>
      <c r="E76" s="4">
        <f>476/0.702804</f>
        <v>677.28698186123017</v>
      </c>
      <c r="G76" s="4">
        <f>499/0.702804</f>
        <v>710.01303350578542</v>
      </c>
      <c r="H76" s="4">
        <f>416/0.702804</f>
        <v>591.91467322326002</v>
      </c>
      <c r="I76" s="4">
        <f>404/0.702804</f>
        <v>574.84021149566593</v>
      </c>
      <c r="K76" s="4">
        <f>508/0.702804</f>
        <v>722.81887980148099</v>
      </c>
    </row>
    <row r="77" spans="1:153" hidden="1" outlineLevel="1" x14ac:dyDescent="0.25">
      <c r="A77" s="8">
        <v>2009</v>
      </c>
      <c r="B77" s="4">
        <f>418/0.702804</f>
        <v>594.76041684452571</v>
      </c>
      <c r="C77" s="4">
        <f>474/0.702804</f>
        <v>674.44123823996449</v>
      </c>
      <c r="D77" s="4">
        <f>345/0.702804</f>
        <v>490.89077466832862</v>
      </c>
      <c r="E77" s="4">
        <f>427/0.702804</f>
        <v>607.56626314022117</v>
      </c>
      <c r="G77" s="4">
        <f>475/0.702804</f>
        <v>675.86411005059733</v>
      </c>
      <c r="H77" s="4">
        <f>379/0.702804</f>
        <v>539.268416229845</v>
      </c>
      <c r="I77" s="4">
        <f>369/0.702804</f>
        <v>525.0396981235167</v>
      </c>
      <c r="K77" s="4">
        <f>474/0.702804</f>
        <v>674.44123823996449</v>
      </c>
    </row>
    <row r="78" spans="1:153" collapsed="1" x14ac:dyDescent="0.25">
      <c r="A78" s="8">
        <v>2010</v>
      </c>
      <c r="B78" s="4">
        <f>403/0.702804</f>
        <v>573.41733968503308</v>
      </c>
      <c r="C78" s="4">
        <f>450/0.702804</f>
        <v>640.29231478477641</v>
      </c>
      <c r="D78" s="4">
        <f>352/0.702804</f>
        <v>500.85087734275845</v>
      </c>
      <c r="E78" s="4">
        <f>418/0.702804</f>
        <v>594.76041684452571</v>
      </c>
      <c r="G78" s="4">
        <f>456/0.702804</f>
        <v>648.82954564857346</v>
      </c>
      <c r="H78" s="4">
        <f>367/0.702804</f>
        <v>522.19395450225102</v>
      </c>
      <c r="I78" s="4">
        <f>365/0.702804</f>
        <v>519.34821088098533</v>
      </c>
      <c r="K78" s="4">
        <f>473/0.702804</f>
        <v>673.01836642933165</v>
      </c>
    </row>
    <row r="79" spans="1:153" hidden="1" outlineLevel="1" x14ac:dyDescent="0.25">
      <c r="A79" s="8">
        <v>2011</v>
      </c>
      <c r="B79" s="4">
        <f>407/0.702804</f>
        <v>579.10882692756445</v>
      </c>
      <c r="C79" s="4">
        <f>453/0.702804</f>
        <v>644.56093021667493</v>
      </c>
      <c r="D79" s="4">
        <f>353/0.702804</f>
        <v>502.27374915339129</v>
      </c>
      <c r="E79" s="4">
        <f>418/0.702804</f>
        <v>594.76041684452571</v>
      </c>
      <c r="G79" s="4">
        <f>457/0.702804</f>
        <v>650.2524174592063</v>
      </c>
      <c r="H79" s="4">
        <f>370/0.702804</f>
        <v>526.46256993414954</v>
      </c>
      <c r="I79" s="4">
        <f>360/0.702804</f>
        <v>512.23385182782113</v>
      </c>
      <c r="K79" s="4">
        <f>472/0.702804</f>
        <v>671.59549461869881</v>
      </c>
    </row>
    <row r="80" spans="1:153" hidden="1" outlineLevel="1" x14ac:dyDescent="0.25">
      <c r="A80" s="8">
        <v>2012</v>
      </c>
      <c r="B80" s="4">
        <f>421/0.702804</f>
        <v>599.02903227642412</v>
      </c>
      <c r="C80" s="4">
        <f>469/0.702804</f>
        <v>667.32687918680028</v>
      </c>
      <c r="D80" s="4">
        <f>367/0.702804</f>
        <v>522.19395450225102</v>
      </c>
      <c r="E80" s="4">
        <f>433/0.702804</f>
        <v>616.10349400401822</v>
      </c>
      <c r="G80" s="4">
        <f>482/0.702804</f>
        <v>685.82421272502722</v>
      </c>
      <c r="H80" s="4">
        <f>395/0.702804</f>
        <v>562.03436519997047</v>
      </c>
      <c r="I80" s="4">
        <f>369/0.702804</f>
        <v>525.0396981235167</v>
      </c>
      <c r="K80" s="4">
        <f>487/0.702804</f>
        <v>692.93857177819143</v>
      </c>
    </row>
    <row r="81" spans="1:12" hidden="1" outlineLevel="1" x14ac:dyDescent="0.25">
      <c r="A81" s="8">
        <v>2013</v>
      </c>
      <c r="B81" s="4">
        <v>626.36</v>
      </c>
      <c r="C81" s="4">
        <v>694.41</v>
      </c>
      <c r="D81" s="4">
        <v>535.33000000000004</v>
      </c>
      <c r="E81" s="4">
        <v>639.66999999999996</v>
      </c>
      <c r="F81" s="4">
        <v>544.82000000000005</v>
      </c>
      <c r="G81" s="4">
        <v>716.42</v>
      </c>
      <c r="H81" s="4">
        <v>566.61</v>
      </c>
      <c r="I81" s="4">
        <v>539.89</v>
      </c>
      <c r="J81" s="4">
        <v>642.08000000000004</v>
      </c>
      <c r="K81" s="4">
        <v>717.33</v>
      </c>
    </row>
    <row r="82" spans="1:12" hidden="1" outlineLevel="1" x14ac:dyDescent="0.25">
      <c r="A82" s="8">
        <v>2014</v>
      </c>
      <c r="B82" s="4">
        <v>654.53</v>
      </c>
      <c r="C82" s="4">
        <v>718.14</v>
      </c>
      <c r="D82" s="4">
        <v>565.94000000000005</v>
      </c>
      <c r="E82" s="4">
        <v>675.88</v>
      </c>
      <c r="F82" s="4">
        <v>577.49</v>
      </c>
      <c r="G82" s="4">
        <v>723.58</v>
      </c>
      <c r="H82" s="4">
        <v>592.04</v>
      </c>
      <c r="I82" s="4">
        <v>572.84</v>
      </c>
      <c r="J82" s="4">
        <v>672.38</v>
      </c>
      <c r="K82" s="4">
        <v>743.18</v>
      </c>
    </row>
    <row r="83" spans="1:12" collapsed="1" x14ac:dyDescent="0.25">
      <c r="A83" s="8">
        <v>2015</v>
      </c>
      <c r="B83" s="1">
        <v>693</v>
      </c>
      <c r="C83" s="1">
        <v>763</v>
      </c>
      <c r="D83" s="1">
        <v>588</v>
      </c>
      <c r="E83" s="1">
        <v>713</v>
      </c>
      <c r="F83" s="1">
        <v>602</v>
      </c>
      <c r="G83" s="1">
        <v>758</v>
      </c>
      <c r="H83" s="1">
        <v>624</v>
      </c>
      <c r="I83" s="1">
        <v>606</v>
      </c>
      <c r="J83" s="1">
        <v>703</v>
      </c>
      <c r="K83" s="1">
        <v>769</v>
      </c>
    </row>
    <row r="84" spans="1:12" hidden="1" outlineLevel="1" x14ac:dyDescent="0.25">
      <c r="A84" s="8">
        <v>2016</v>
      </c>
      <c r="B84" s="1">
        <v>743</v>
      </c>
      <c r="C84" s="1">
        <v>824</v>
      </c>
      <c r="D84" s="1">
        <v>607</v>
      </c>
      <c r="E84" s="1">
        <v>754</v>
      </c>
      <c r="F84" s="1">
        <v>639</v>
      </c>
      <c r="G84" s="1">
        <v>831</v>
      </c>
      <c r="H84" s="1">
        <v>660</v>
      </c>
      <c r="I84" s="1">
        <v>631</v>
      </c>
      <c r="J84" s="1">
        <v>741</v>
      </c>
      <c r="K84" s="1">
        <v>791</v>
      </c>
    </row>
    <row r="85" spans="1:12" hidden="1" outlineLevel="1" x14ac:dyDescent="0.25">
      <c r="A85" s="8">
        <v>2017</v>
      </c>
      <c r="B85" s="1">
        <v>813</v>
      </c>
      <c r="C85" s="1">
        <v>902</v>
      </c>
      <c r="D85" s="1">
        <v>650</v>
      </c>
      <c r="E85" s="1">
        <v>816</v>
      </c>
      <c r="F85" s="1">
        <v>691</v>
      </c>
      <c r="G85" s="1">
        <v>906</v>
      </c>
      <c r="H85" s="1">
        <v>719</v>
      </c>
      <c r="I85" s="1">
        <v>674</v>
      </c>
      <c r="J85" s="1">
        <v>795</v>
      </c>
      <c r="K85" s="1">
        <v>841</v>
      </c>
    </row>
    <row r="86" spans="1:12" hidden="1" outlineLevel="1" x14ac:dyDescent="0.25">
      <c r="A86" s="8">
        <v>2018</v>
      </c>
      <c r="B86" s="1">
        <v>887</v>
      </c>
      <c r="C86" s="1">
        <v>984</v>
      </c>
      <c r="D86" s="1">
        <v>702</v>
      </c>
      <c r="E86" s="1">
        <v>891</v>
      </c>
      <c r="F86" s="1">
        <v>758</v>
      </c>
      <c r="G86" s="1">
        <v>977</v>
      </c>
      <c r="H86" s="1">
        <v>776</v>
      </c>
      <c r="I86" s="1">
        <v>724</v>
      </c>
      <c r="J86" s="1">
        <v>872</v>
      </c>
      <c r="K86" s="1">
        <v>905</v>
      </c>
    </row>
    <row r="87" spans="1:12" hidden="1" outlineLevel="1" x14ac:dyDescent="0.25">
      <c r="A87" s="8">
        <v>2019</v>
      </c>
      <c r="B87" s="4">
        <v>953.36</v>
      </c>
      <c r="C87" s="4">
        <v>1056.72</v>
      </c>
      <c r="D87" s="4">
        <v>751.22</v>
      </c>
      <c r="E87" s="4">
        <v>957.85</v>
      </c>
      <c r="F87" s="4">
        <v>819.91</v>
      </c>
      <c r="G87" s="4">
        <v>1040.1500000000001</v>
      </c>
      <c r="H87" s="4">
        <v>830.45</v>
      </c>
      <c r="I87" s="4">
        <v>771.7</v>
      </c>
      <c r="J87" s="4">
        <v>943.42</v>
      </c>
      <c r="K87" s="4">
        <v>965.8</v>
      </c>
      <c r="L87" s="4"/>
    </row>
    <row r="88" spans="1:12" collapsed="1" x14ac:dyDescent="0.25">
      <c r="A88" s="8">
        <v>2020</v>
      </c>
      <c r="B88" s="1">
        <v>989</v>
      </c>
      <c r="C88" s="1">
        <v>1093</v>
      </c>
      <c r="D88" s="1">
        <v>775</v>
      </c>
      <c r="E88" s="1">
        <v>984</v>
      </c>
      <c r="F88" s="1">
        <v>849</v>
      </c>
      <c r="G88" s="1">
        <v>1070</v>
      </c>
      <c r="H88" s="1">
        <v>867</v>
      </c>
      <c r="I88" s="1">
        <v>798</v>
      </c>
      <c r="J88" s="1">
        <v>977</v>
      </c>
      <c r="K88" s="1">
        <v>976</v>
      </c>
    </row>
    <row r="89" spans="1:12" x14ac:dyDescent="0.25">
      <c r="A89" s="8">
        <v>2021</v>
      </c>
      <c r="B89" s="1">
        <v>1128</v>
      </c>
      <c r="C89" s="1">
        <v>1252</v>
      </c>
      <c r="D89" s="1">
        <v>894</v>
      </c>
      <c r="E89" s="1">
        <v>1109</v>
      </c>
      <c r="G89" s="1">
        <v>1236</v>
      </c>
      <c r="H89" s="1">
        <v>982</v>
      </c>
      <c r="I89" s="1">
        <v>905</v>
      </c>
      <c r="K89" s="1">
        <v>1081</v>
      </c>
    </row>
    <row r="90" spans="1:12" x14ac:dyDescent="0.25">
      <c r="A90" s="8">
        <v>2022</v>
      </c>
      <c r="B90" s="37">
        <v>1275.25</v>
      </c>
      <c r="C90" s="37">
        <v>1424.4</v>
      </c>
      <c r="D90" s="37">
        <v>989.19</v>
      </c>
      <c r="E90" s="37">
        <v>1247.6400000000001</v>
      </c>
      <c r="F90" s="37"/>
      <c r="G90" s="37">
        <v>1412.96</v>
      </c>
      <c r="H90" s="37">
        <v>1103.3</v>
      </c>
      <c r="I90" s="37">
        <v>1018.04</v>
      </c>
      <c r="J90" s="37"/>
      <c r="K90" s="37">
        <v>1216.8499999999999</v>
      </c>
    </row>
    <row r="91" spans="1:12" x14ac:dyDescent="0.25">
      <c r="A91" s="8">
        <v>2023</v>
      </c>
      <c r="B91" s="38">
        <v>1430.19</v>
      </c>
      <c r="C91" s="38">
        <v>1585.16</v>
      </c>
      <c r="D91" s="38">
        <v>1119.93</v>
      </c>
      <c r="E91" s="38">
        <v>1403.18</v>
      </c>
      <c r="G91" s="38">
        <v>1574.99</v>
      </c>
      <c r="H91" s="38">
        <v>1231.71</v>
      </c>
      <c r="I91" s="38">
        <v>1152.8900000000001</v>
      </c>
      <c r="K91" s="1">
        <v>1346</v>
      </c>
    </row>
    <row r="92" spans="1:12" x14ac:dyDescent="0.25">
      <c r="A92" s="8">
        <v>2024</v>
      </c>
      <c r="B92" s="38">
        <v>1557.74</v>
      </c>
      <c r="C92" s="38">
        <v>1714.84</v>
      </c>
      <c r="D92" s="38">
        <v>1214.99</v>
      </c>
      <c r="E92" s="38">
        <v>1532.7</v>
      </c>
      <c r="G92" s="38">
        <v>1706.54</v>
      </c>
      <c r="H92" s="38">
        <v>1342.32</v>
      </c>
      <c r="I92" s="38">
        <v>1269.1199999999999</v>
      </c>
      <c r="K92" s="1">
        <v>1445</v>
      </c>
    </row>
    <row r="93" spans="1:12" x14ac:dyDescent="0.25">
      <c r="B93" s="26"/>
    </row>
    <row r="94" spans="1:12" x14ac:dyDescent="0.25">
      <c r="B94" s="26"/>
    </row>
    <row r="95" spans="1:12" x14ac:dyDescent="0.25">
      <c r="B95" s="26"/>
    </row>
    <row r="96" spans="1:12" x14ac:dyDescent="0.25">
      <c r="B96" s="26"/>
    </row>
    <row r="97" spans="1:153" x14ac:dyDescent="0.25">
      <c r="B97" s="26"/>
    </row>
    <row r="98" spans="1:153" x14ac:dyDescent="0.25">
      <c r="B98" s="26"/>
    </row>
    <row r="99" spans="1:153" x14ac:dyDescent="0.25">
      <c r="B99" s="26"/>
    </row>
    <row r="100" spans="1:153" x14ac:dyDescent="0.25">
      <c r="B100" s="26"/>
    </row>
    <row r="101" spans="1:153" x14ac:dyDescent="0.25">
      <c r="B101" s="26"/>
    </row>
    <row r="102" spans="1:153" x14ac:dyDescent="0.25">
      <c r="B102" s="26"/>
    </row>
    <row r="103" spans="1:153" x14ac:dyDescent="0.25">
      <c r="B103" s="26"/>
    </row>
    <row r="104" spans="1:153" x14ac:dyDescent="0.25">
      <c r="B104" s="27"/>
    </row>
    <row r="109" spans="1:153" s="2" customFormat="1" ht="5.25" customHeight="1" x14ac:dyDescent="0.25">
      <c r="A109" s="32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</row>
    <row r="110" spans="1:153" s="27" customFormat="1" ht="12.6" customHeight="1" x14ac:dyDescent="0.25">
      <c r="A110" s="41"/>
      <c r="S110" s="2"/>
    </row>
    <row r="111" spans="1:153" s="27" customFormat="1" ht="12.6" customHeight="1" x14ac:dyDescent="0.25">
      <c r="A111" s="41"/>
      <c r="B111" s="1" t="s">
        <v>0</v>
      </c>
      <c r="C111" s="1" t="s">
        <v>1</v>
      </c>
      <c r="D111" s="1" t="s">
        <v>2</v>
      </c>
      <c r="E111" s="1" t="s">
        <v>3</v>
      </c>
      <c r="F111" s="1" t="s">
        <v>4</v>
      </c>
      <c r="G111" s="1" t="s">
        <v>5</v>
      </c>
      <c r="H111" s="1" t="s">
        <v>29</v>
      </c>
      <c r="I111" s="1" t="s">
        <v>7</v>
      </c>
      <c r="J111" s="1"/>
      <c r="S111" s="2"/>
    </row>
    <row r="112" spans="1:153" s="27" customFormat="1" ht="12.6" customHeight="1" x14ac:dyDescent="0.25">
      <c r="A112" s="41">
        <v>2021</v>
      </c>
      <c r="B112" s="38">
        <v>1035</v>
      </c>
      <c r="C112" s="38">
        <v>1113</v>
      </c>
      <c r="D112" s="38">
        <v>1085</v>
      </c>
      <c r="E112" s="38">
        <v>1191</v>
      </c>
      <c r="F112" s="38">
        <v>1162</v>
      </c>
      <c r="G112" s="38">
        <v>1104</v>
      </c>
      <c r="H112" s="38">
        <v>1014</v>
      </c>
      <c r="I112" s="38">
        <v>1229</v>
      </c>
      <c r="S112" s="2"/>
    </row>
    <row r="113" spans="1:19" s="27" customFormat="1" ht="12.6" customHeight="1" x14ac:dyDescent="0.25">
      <c r="A113" s="41">
        <v>2022</v>
      </c>
      <c r="B113" s="38">
        <v>1100</v>
      </c>
      <c r="C113" s="38">
        <v>1168</v>
      </c>
      <c r="D113" s="38">
        <v>1140</v>
      </c>
      <c r="E113" s="38">
        <v>1252</v>
      </c>
      <c r="F113" s="38">
        <v>1161</v>
      </c>
      <c r="G113" s="38">
        <v>1181</v>
      </c>
      <c r="H113" s="38">
        <v>1082</v>
      </c>
      <c r="I113" s="38">
        <v>1318</v>
      </c>
      <c r="S113" s="2"/>
    </row>
    <row r="114" spans="1:19" s="27" customFormat="1" ht="12.6" customHeight="1" x14ac:dyDescent="0.25">
      <c r="A114" s="41">
        <v>2023</v>
      </c>
      <c r="B114" s="38">
        <v>1243</v>
      </c>
      <c r="C114" s="38">
        <v>1309</v>
      </c>
      <c r="D114" s="38">
        <v>1272</v>
      </c>
      <c r="E114" s="38">
        <v>1354</v>
      </c>
      <c r="F114" s="38">
        <v>1281</v>
      </c>
      <c r="G114" s="38">
        <v>1329</v>
      </c>
      <c r="H114" s="38">
        <v>1227</v>
      </c>
      <c r="I114" s="38">
        <v>1410</v>
      </c>
      <c r="S114" s="2"/>
    </row>
    <row r="115" spans="1:19" s="27" customFormat="1" ht="12.6" customHeight="1" x14ac:dyDescent="0.25">
      <c r="A115" s="41">
        <v>2024</v>
      </c>
      <c r="B115" s="38">
        <v>1424</v>
      </c>
      <c r="C115" s="38">
        <v>1527</v>
      </c>
      <c r="D115" s="38">
        <v>1412</v>
      </c>
      <c r="E115" s="38">
        <v>1513</v>
      </c>
      <c r="F115" s="38">
        <v>1558</v>
      </c>
      <c r="G115" s="38">
        <v>1516</v>
      </c>
      <c r="H115" s="38">
        <v>1350</v>
      </c>
      <c r="I115" s="38">
        <v>1554</v>
      </c>
      <c r="S115" s="2"/>
    </row>
    <row r="116" spans="1:19" s="27" customFormat="1" ht="12.6" customHeight="1" x14ac:dyDescent="0.25">
      <c r="A116" s="41"/>
      <c r="S116" s="2"/>
    </row>
    <row r="117" spans="1:19" s="27" customFormat="1" ht="12.6" customHeight="1" x14ac:dyDescent="0.25">
      <c r="A117" s="41"/>
      <c r="S117" s="2"/>
    </row>
    <row r="118" spans="1:19" s="27" customFormat="1" ht="12.6" customHeight="1" x14ac:dyDescent="0.25">
      <c r="A118" s="41"/>
      <c r="S118" s="2"/>
    </row>
    <row r="119" spans="1:19" s="27" customFormat="1" ht="12.6" customHeight="1" x14ac:dyDescent="0.25">
      <c r="A119" s="41"/>
      <c r="S119" s="2"/>
    </row>
    <row r="120" spans="1:19" s="27" customFormat="1" ht="12.6" customHeight="1" x14ac:dyDescent="0.25">
      <c r="A120" s="41"/>
      <c r="F120" s="27" t="s">
        <v>18</v>
      </c>
      <c r="S120" s="2"/>
    </row>
    <row r="121" spans="1:19" s="27" customFormat="1" ht="12.6" customHeight="1" x14ac:dyDescent="0.25">
      <c r="A121" s="41"/>
      <c r="S121" s="2"/>
    </row>
    <row r="122" spans="1:19" s="27" customFormat="1" ht="12.6" customHeight="1" x14ac:dyDescent="0.25">
      <c r="A122" s="41"/>
      <c r="S122" s="2"/>
    </row>
    <row r="123" spans="1:19" s="27" customFormat="1" ht="12.6" customHeight="1" x14ac:dyDescent="0.25">
      <c r="A123" s="41"/>
      <c r="S123" s="2"/>
    </row>
    <row r="124" spans="1:19" s="27" customFormat="1" ht="12.6" customHeight="1" x14ac:dyDescent="0.25">
      <c r="A124" s="41"/>
      <c r="S124" s="2"/>
    </row>
    <row r="125" spans="1:19" s="27" customFormat="1" ht="12.6" customHeight="1" x14ac:dyDescent="0.25">
      <c r="A125" s="41"/>
      <c r="S125" s="2"/>
    </row>
    <row r="126" spans="1:19" s="27" customFormat="1" ht="12.6" customHeight="1" x14ac:dyDescent="0.25">
      <c r="A126" s="41"/>
      <c r="S126" s="2"/>
    </row>
    <row r="127" spans="1:19" s="27" customFormat="1" ht="12.6" customHeight="1" x14ac:dyDescent="0.25">
      <c r="A127" s="41"/>
      <c r="S127" s="2"/>
    </row>
    <row r="128" spans="1:19" s="27" customFormat="1" ht="12.6" customHeight="1" x14ac:dyDescent="0.25">
      <c r="A128" s="41"/>
      <c r="S128" s="2"/>
    </row>
    <row r="129" spans="1:153" s="27" customFormat="1" ht="12.6" customHeight="1" x14ac:dyDescent="0.25">
      <c r="A129" s="41"/>
      <c r="S129" s="2"/>
    </row>
    <row r="130" spans="1:153" s="27" customFormat="1" ht="12.6" customHeight="1" x14ac:dyDescent="0.25">
      <c r="A130" s="41"/>
      <c r="S130" s="2"/>
    </row>
    <row r="131" spans="1:153" s="27" customFormat="1" ht="12.6" customHeight="1" x14ac:dyDescent="0.25">
      <c r="A131" s="41"/>
      <c r="S131" s="2"/>
    </row>
    <row r="132" spans="1:153" s="27" customFormat="1" ht="12.6" customHeight="1" x14ac:dyDescent="0.25">
      <c r="A132" s="41"/>
      <c r="S132" s="2"/>
    </row>
    <row r="133" spans="1:153" s="27" customFormat="1" ht="12.6" customHeight="1" x14ac:dyDescent="0.25">
      <c r="A133" s="41"/>
      <c r="S133" s="2"/>
    </row>
    <row r="134" spans="1:153" s="27" customFormat="1" ht="12.6" customHeight="1" x14ac:dyDescent="0.25">
      <c r="A134" s="41"/>
      <c r="S134" s="2"/>
    </row>
    <row r="135" spans="1:153" s="27" customFormat="1" ht="12.6" customHeight="1" x14ac:dyDescent="0.25">
      <c r="A135" s="41"/>
      <c r="S135" s="2"/>
    </row>
    <row r="136" spans="1:153" s="27" customFormat="1" ht="12.6" customHeight="1" x14ac:dyDescent="0.25">
      <c r="A136" s="41"/>
      <c r="S136" s="2"/>
    </row>
    <row r="137" spans="1:153" s="27" customFormat="1" ht="12.6" customHeight="1" x14ac:dyDescent="0.25">
      <c r="A137" s="41"/>
      <c r="S137" s="2"/>
    </row>
    <row r="138" spans="1:153" s="27" customFormat="1" ht="12.6" customHeight="1" x14ac:dyDescent="0.25">
      <c r="A138" s="41"/>
      <c r="S138" s="2"/>
    </row>
    <row r="139" spans="1:153" s="2" customFormat="1" ht="7.8" customHeight="1" x14ac:dyDescent="0.25">
      <c r="A139" s="32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</row>
    <row r="141" spans="1:153" x14ac:dyDescent="0.25">
      <c r="B141" s="1" t="s">
        <v>20</v>
      </c>
      <c r="C141" s="1" t="s">
        <v>21</v>
      </c>
      <c r="D141" s="4"/>
      <c r="E141" s="4"/>
      <c r="F141" s="4"/>
      <c r="G141" s="4"/>
      <c r="J141" s="4"/>
      <c r="K141" s="4"/>
    </row>
    <row r="142" spans="1:153" x14ac:dyDescent="0.25">
      <c r="A142" s="8">
        <v>2005</v>
      </c>
      <c r="B142" s="1">
        <v>100</v>
      </c>
      <c r="C142" s="1">
        <v>100</v>
      </c>
    </row>
    <row r="143" spans="1:153" hidden="1" outlineLevel="1" x14ac:dyDescent="0.25">
      <c r="A143" s="8">
        <v>2006</v>
      </c>
      <c r="B143" s="1">
        <v>107</v>
      </c>
      <c r="C143" s="1">
        <v>121</v>
      </c>
    </row>
    <row r="144" spans="1:153" hidden="1" outlineLevel="1" x14ac:dyDescent="0.25">
      <c r="A144" s="8">
        <v>2007</v>
      </c>
      <c r="B144" s="1">
        <v>117</v>
      </c>
      <c r="C144" s="1">
        <v>169</v>
      </c>
    </row>
    <row r="145" spans="1:3" hidden="1" outlineLevel="1" x14ac:dyDescent="0.25">
      <c r="A145" s="8">
        <v>2008</v>
      </c>
      <c r="B145" s="1">
        <v>135</v>
      </c>
      <c r="C145" s="1">
        <v>202</v>
      </c>
    </row>
    <row r="146" spans="1:3" hidden="1" outlineLevel="1" x14ac:dyDescent="0.25">
      <c r="A146" s="8">
        <v>2009</v>
      </c>
      <c r="B146" s="1">
        <v>140</v>
      </c>
      <c r="C146" s="1">
        <v>184</v>
      </c>
    </row>
    <row r="147" spans="1:3" collapsed="1" x14ac:dyDescent="0.25">
      <c r="A147" s="8">
        <v>2010</v>
      </c>
      <c r="B147" s="1">
        <v>139</v>
      </c>
      <c r="C147" s="1">
        <v>178</v>
      </c>
    </row>
    <row r="148" spans="1:3" hidden="1" outlineLevel="1" x14ac:dyDescent="0.25">
      <c r="A148" s="8">
        <v>2011</v>
      </c>
      <c r="B148" s="1">
        <v>145</v>
      </c>
      <c r="C148" s="1">
        <v>180</v>
      </c>
    </row>
    <row r="149" spans="1:3" hidden="1" outlineLevel="1" x14ac:dyDescent="0.25">
      <c r="A149" s="8">
        <v>2012</v>
      </c>
      <c r="B149" s="4">
        <v>147.9</v>
      </c>
      <c r="C149" s="4">
        <v>191.7</v>
      </c>
    </row>
    <row r="150" spans="1:3" hidden="1" outlineLevel="1" x14ac:dyDescent="0.25">
      <c r="A150" s="8">
        <v>2013</v>
      </c>
      <c r="B150" s="4">
        <v>148</v>
      </c>
      <c r="C150" s="1">
        <v>194</v>
      </c>
    </row>
    <row r="151" spans="1:3" hidden="1" outlineLevel="1" x14ac:dyDescent="0.25">
      <c r="A151" s="8">
        <v>2014</v>
      </c>
      <c r="B151" s="4">
        <v>149</v>
      </c>
      <c r="C151" s="1">
        <v>202</v>
      </c>
    </row>
    <row r="152" spans="1:3" collapsed="1" x14ac:dyDescent="0.25">
      <c r="A152" s="8">
        <v>2015</v>
      </c>
      <c r="B152" s="4">
        <v>149.1</v>
      </c>
      <c r="C152" s="1">
        <v>213</v>
      </c>
    </row>
    <row r="153" spans="1:3" hidden="1" outlineLevel="1" x14ac:dyDescent="0.25">
      <c r="A153" s="8">
        <v>2016</v>
      </c>
      <c r="B153" s="4">
        <v>149.30000000000001</v>
      </c>
      <c r="C153" s="1">
        <v>225</v>
      </c>
    </row>
    <row r="154" spans="1:3" hidden="1" outlineLevel="1" x14ac:dyDescent="0.25">
      <c r="A154" s="8">
        <v>2017</v>
      </c>
      <c r="B154" s="1">
        <v>154</v>
      </c>
      <c r="C154" s="1">
        <v>245</v>
      </c>
    </row>
    <row r="155" spans="1:3" hidden="1" outlineLevel="1" x14ac:dyDescent="0.25">
      <c r="A155" s="8">
        <v>2018</v>
      </c>
      <c r="B155" s="4">
        <v>157.6</v>
      </c>
      <c r="C155" s="1">
        <v>265</v>
      </c>
    </row>
    <row r="156" spans="1:3" hidden="1" outlineLevel="1" x14ac:dyDescent="0.25">
      <c r="A156" s="8">
        <v>2019</v>
      </c>
      <c r="B156" s="1">
        <v>162</v>
      </c>
      <c r="C156" s="1">
        <v>284</v>
      </c>
    </row>
    <row r="157" spans="1:3" collapsed="1" x14ac:dyDescent="0.25">
      <c r="A157" s="8">
        <v>2020</v>
      </c>
      <c r="B157" s="4">
        <v>162.30000000000001</v>
      </c>
      <c r="C157" s="4">
        <v>296.39999999999998</v>
      </c>
    </row>
    <row r="158" spans="1:3" x14ac:dyDescent="0.25">
      <c r="A158" s="8">
        <v>2021</v>
      </c>
      <c r="B158" s="1">
        <v>168</v>
      </c>
      <c r="C158" s="1">
        <v>336</v>
      </c>
    </row>
    <row r="159" spans="1:3" x14ac:dyDescent="0.25">
      <c r="A159" s="8">
        <v>2022</v>
      </c>
      <c r="B159" s="1">
        <v>197</v>
      </c>
      <c r="C159" s="1">
        <v>377</v>
      </c>
    </row>
    <row r="160" spans="1:3" x14ac:dyDescent="0.25">
      <c r="A160" s="8">
        <v>2023</v>
      </c>
      <c r="B160" s="1">
        <v>214</v>
      </c>
      <c r="C160" s="1">
        <v>421</v>
      </c>
    </row>
    <row r="161" spans="1:3" x14ac:dyDescent="0.25">
      <c r="A161" s="8">
        <v>2024</v>
      </c>
      <c r="B161" s="1">
        <v>217</v>
      </c>
      <c r="C161" s="1">
        <v>459</v>
      </c>
    </row>
    <row r="178" spans="1:18" ht="5.4" customHeight="1" x14ac:dyDescent="0.25">
      <c r="A178" s="3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80" spans="1:18" x14ac:dyDescent="0.25">
      <c r="B180" s="1" t="s">
        <v>20</v>
      </c>
      <c r="C180" s="1" t="s">
        <v>21</v>
      </c>
    </row>
    <row r="181" spans="1:18" x14ac:dyDescent="0.25">
      <c r="A181" s="45">
        <v>2015</v>
      </c>
      <c r="B181" s="43">
        <v>100</v>
      </c>
      <c r="C181" s="44">
        <v>100</v>
      </c>
    </row>
    <row r="182" spans="1:18" x14ac:dyDescent="0.25">
      <c r="A182" s="45">
        <v>2016</v>
      </c>
      <c r="B182" s="44">
        <v>100.1</v>
      </c>
      <c r="C182" s="44">
        <v>105.76923076923077</v>
      </c>
    </row>
    <row r="183" spans="1:18" x14ac:dyDescent="0.25">
      <c r="A183" s="45">
        <v>2017</v>
      </c>
      <c r="B183" s="44">
        <v>103.1</v>
      </c>
      <c r="C183" s="44">
        <v>115.22435897435896</v>
      </c>
    </row>
    <row r="184" spans="1:18" x14ac:dyDescent="0.25">
      <c r="A184" s="45">
        <v>2018</v>
      </c>
      <c r="B184" s="44">
        <v>105.7</v>
      </c>
      <c r="C184" s="44">
        <v>124.35897435897436</v>
      </c>
    </row>
    <row r="185" spans="1:18" x14ac:dyDescent="0.25">
      <c r="A185" s="45">
        <v>2019</v>
      </c>
      <c r="B185" s="44">
        <v>108.7</v>
      </c>
      <c r="C185" s="44">
        <v>133.0128205128205</v>
      </c>
    </row>
    <row r="186" spans="1:18" x14ac:dyDescent="0.25">
      <c r="A186" s="45">
        <v>2020</v>
      </c>
      <c r="B186" s="44">
        <v>108.9</v>
      </c>
      <c r="C186" s="44">
        <v>138.94230769230768</v>
      </c>
    </row>
    <row r="187" spans="1:18" x14ac:dyDescent="0.25">
      <c r="A187" s="45">
        <v>2021</v>
      </c>
      <c r="B187" s="44">
        <v>112.5</v>
      </c>
      <c r="C187" s="44">
        <v>157.44230769230768</v>
      </c>
    </row>
    <row r="188" spans="1:18" x14ac:dyDescent="0.25">
      <c r="A188" s="45">
        <v>2022</v>
      </c>
      <c r="B188" s="44">
        <v>131.9</v>
      </c>
      <c r="C188" s="44">
        <v>176.81089743589743</v>
      </c>
    </row>
    <row r="189" spans="1:18" x14ac:dyDescent="0.25">
      <c r="A189" s="45">
        <v>2023</v>
      </c>
      <c r="B189" s="44">
        <v>143.69999999999999</v>
      </c>
      <c r="C189" s="44">
        <v>197.43589743589746</v>
      </c>
    </row>
    <row r="190" spans="1:18" x14ac:dyDescent="0.25">
      <c r="A190" s="45">
        <v>2024</v>
      </c>
      <c r="B190" s="44">
        <v>145.5</v>
      </c>
      <c r="C190" s="44">
        <v>215.06410256410254</v>
      </c>
    </row>
    <row r="202" spans="1:153" s="2" customFormat="1" ht="5.25" customHeight="1" x14ac:dyDescent="0.25">
      <c r="A202" s="32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7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</row>
    <row r="203" spans="1:153" x14ac:dyDescent="0.25">
      <c r="B203" s="4"/>
      <c r="C203" s="3"/>
      <c r="U203" s="27"/>
    </row>
    <row r="204" spans="1:153" x14ac:dyDescent="0.25">
      <c r="B204" s="4" t="s">
        <v>12</v>
      </c>
      <c r="C204" s="9" t="s">
        <v>31</v>
      </c>
      <c r="D204" s="10" t="s">
        <v>22</v>
      </c>
      <c r="E204" s="10" t="s">
        <v>23</v>
      </c>
      <c r="F204" s="10" t="s">
        <v>24</v>
      </c>
      <c r="G204" s="1" t="s">
        <v>32</v>
      </c>
      <c r="H204" s="1" t="s">
        <v>13</v>
      </c>
      <c r="I204" s="1" t="s">
        <v>14</v>
      </c>
      <c r="J204" s="10" t="s">
        <v>25</v>
      </c>
      <c r="K204" s="1" t="s">
        <v>15</v>
      </c>
      <c r="L204" s="1" t="s">
        <v>33</v>
      </c>
      <c r="M204" s="1" t="s">
        <v>34</v>
      </c>
      <c r="N204" s="1" t="s">
        <v>16</v>
      </c>
      <c r="O204" s="10" t="s">
        <v>26</v>
      </c>
      <c r="P204" s="1" t="s">
        <v>17</v>
      </c>
      <c r="S204" s="2" t="s">
        <v>18</v>
      </c>
      <c r="U204" s="27"/>
    </row>
    <row r="205" spans="1:153" x14ac:dyDescent="0.25">
      <c r="A205" s="40" t="s">
        <v>38</v>
      </c>
      <c r="B205" s="5">
        <v>54.957152947298795</v>
      </c>
      <c r="C205" s="5">
        <v>17.137185327312483</v>
      </c>
      <c r="D205" s="5">
        <v>7.5632630598262374</v>
      </c>
      <c r="E205" s="5">
        <v>17.00894905827511</v>
      </c>
      <c r="F205" s="5">
        <v>3.4351152833134813</v>
      </c>
      <c r="G205" s="5">
        <v>6.3682026715148456</v>
      </c>
      <c r="H205" s="5">
        <v>18.080102339002</v>
      </c>
      <c r="I205" s="5">
        <v>16.637934934797887</v>
      </c>
      <c r="J205" s="5">
        <v>14.6</v>
      </c>
      <c r="K205" s="5">
        <v>45.042847052701198</v>
      </c>
      <c r="L205" s="5">
        <v>2.4067504767517311</v>
      </c>
      <c r="M205" s="5">
        <v>54.39615384071557</v>
      </c>
      <c r="N205" s="5">
        <v>6.1005747445488999E-2</v>
      </c>
      <c r="O205" s="5">
        <v>1.8893064200217575</v>
      </c>
      <c r="P205" s="5">
        <v>41.246783515065459</v>
      </c>
      <c r="Q205" s="5"/>
      <c r="U205" s="27"/>
    </row>
    <row r="206" spans="1:153" x14ac:dyDescent="0.25">
      <c r="B206" s="4"/>
      <c r="C206" s="3"/>
      <c r="U206" s="27"/>
    </row>
    <row r="207" spans="1:153" x14ac:dyDescent="0.25">
      <c r="B207" s="4"/>
      <c r="C207" s="3"/>
      <c r="U207" s="27"/>
    </row>
    <row r="208" spans="1:153" x14ac:dyDescent="0.25">
      <c r="B208" s="4"/>
      <c r="C208" s="3"/>
      <c r="U208" s="27"/>
    </row>
    <row r="209" spans="2:21" x14ac:dyDescent="0.25">
      <c r="B209" s="4"/>
      <c r="C209" s="3"/>
      <c r="U209" s="27"/>
    </row>
    <row r="210" spans="2:21" x14ac:dyDescent="0.25">
      <c r="B210" s="4"/>
      <c r="C210" s="3"/>
      <c r="U210" s="27"/>
    </row>
    <row r="211" spans="2:21" x14ac:dyDescent="0.25">
      <c r="B211" s="4"/>
      <c r="C211" s="3"/>
      <c r="U211" s="27"/>
    </row>
    <row r="212" spans="2:21" x14ac:dyDescent="0.25">
      <c r="B212" s="4"/>
      <c r="C212" s="3"/>
      <c r="U212" s="27"/>
    </row>
    <row r="213" spans="2:21" x14ac:dyDescent="0.25">
      <c r="B213" s="4"/>
      <c r="C213" s="3"/>
      <c r="U213" s="27"/>
    </row>
    <row r="214" spans="2:21" x14ac:dyDescent="0.25">
      <c r="B214" s="4"/>
      <c r="C214" s="3"/>
      <c r="U214" s="27"/>
    </row>
    <row r="215" spans="2:21" x14ac:dyDescent="0.25">
      <c r="B215" s="4"/>
      <c r="C215" s="3"/>
      <c r="U215" s="27"/>
    </row>
    <row r="216" spans="2:21" x14ac:dyDescent="0.25">
      <c r="B216" s="4"/>
      <c r="C216" s="3"/>
      <c r="U216" s="27"/>
    </row>
    <row r="217" spans="2:21" x14ac:dyDescent="0.25">
      <c r="B217" s="4"/>
      <c r="C217" s="3"/>
      <c r="U217" s="27"/>
    </row>
    <row r="218" spans="2:21" x14ac:dyDescent="0.25">
      <c r="B218" s="4"/>
      <c r="C218" s="3"/>
      <c r="U218" s="27"/>
    </row>
    <row r="219" spans="2:21" x14ac:dyDescent="0.25">
      <c r="B219" s="4"/>
      <c r="C219" s="3"/>
      <c r="U219" s="27"/>
    </row>
    <row r="220" spans="2:21" x14ac:dyDescent="0.25">
      <c r="B220" s="4"/>
      <c r="C220" s="3"/>
      <c r="U220" s="27"/>
    </row>
    <row r="221" spans="2:21" x14ac:dyDescent="0.25">
      <c r="B221" s="4"/>
      <c r="C221" s="3"/>
      <c r="U221" s="27"/>
    </row>
    <row r="222" spans="2:21" x14ac:dyDescent="0.25">
      <c r="B222" s="4"/>
      <c r="C222" s="3"/>
      <c r="U222" s="27"/>
    </row>
    <row r="223" spans="2:21" x14ac:dyDescent="0.25">
      <c r="B223" s="4"/>
      <c r="C223" s="3"/>
      <c r="U223" s="27"/>
    </row>
    <row r="224" spans="2:21" x14ac:dyDescent="0.25">
      <c r="B224" s="4"/>
      <c r="C224" s="3"/>
      <c r="U224" s="27"/>
    </row>
    <row r="225" spans="2:21" x14ac:dyDescent="0.25">
      <c r="B225" s="4"/>
      <c r="C225" s="3"/>
      <c r="U225" s="27"/>
    </row>
    <row r="226" spans="2:21" x14ac:dyDescent="0.25">
      <c r="B226" s="4"/>
      <c r="C226" s="3"/>
      <c r="U226" s="27"/>
    </row>
    <row r="227" spans="2:21" x14ac:dyDescent="0.25">
      <c r="B227" s="4"/>
      <c r="C227" s="3"/>
      <c r="U227" s="27"/>
    </row>
    <row r="228" spans="2:21" x14ac:dyDescent="0.25">
      <c r="B228" s="4"/>
      <c r="C228" s="3"/>
      <c r="U228" s="27"/>
    </row>
    <row r="229" spans="2:21" x14ac:dyDescent="0.25">
      <c r="B229" s="4"/>
      <c r="C229" s="3"/>
      <c r="U229" s="27"/>
    </row>
    <row r="230" spans="2:21" x14ac:dyDescent="0.25">
      <c r="B230" s="4"/>
      <c r="C230" s="3"/>
      <c r="U230" s="27"/>
    </row>
    <row r="231" spans="2:21" x14ac:dyDescent="0.25">
      <c r="B231" s="4"/>
      <c r="C231" s="3"/>
      <c r="U231" s="27"/>
    </row>
    <row r="232" spans="2:21" x14ac:dyDescent="0.25">
      <c r="B232" s="4"/>
      <c r="C232" s="3"/>
      <c r="U232" s="27"/>
    </row>
    <row r="233" spans="2:21" x14ac:dyDescent="0.25">
      <c r="B233" s="4"/>
      <c r="C233" s="3"/>
      <c r="U233" s="27"/>
    </row>
    <row r="234" spans="2:21" x14ac:dyDescent="0.25">
      <c r="B234" s="4"/>
      <c r="C234" s="3"/>
      <c r="U234" s="27"/>
    </row>
    <row r="235" spans="2:21" hidden="1" outlineLevel="1" x14ac:dyDescent="0.25">
      <c r="B235" s="4"/>
      <c r="C235" s="3"/>
      <c r="U235" s="27"/>
    </row>
    <row r="236" spans="2:21" hidden="1" outlineLevel="1" x14ac:dyDescent="0.25">
      <c r="B236" s="4"/>
      <c r="C236" s="3"/>
      <c r="U236" s="27"/>
    </row>
    <row r="237" spans="2:21" hidden="1" outlineLevel="1" x14ac:dyDescent="0.25">
      <c r="B237" s="4"/>
      <c r="C237" s="3"/>
      <c r="U237" s="27"/>
    </row>
    <row r="238" spans="2:21" hidden="1" outlineLevel="1" x14ac:dyDescent="0.25">
      <c r="B238" s="4"/>
      <c r="C238" s="3"/>
      <c r="U238" s="27"/>
    </row>
    <row r="239" spans="2:21" hidden="1" outlineLevel="1" x14ac:dyDescent="0.25">
      <c r="B239" s="4"/>
      <c r="C239" s="3"/>
      <c r="U239" s="27"/>
    </row>
    <row r="240" spans="2:21" hidden="1" outlineLevel="1" x14ac:dyDescent="0.25">
      <c r="B240" s="4"/>
      <c r="C240" s="3"/>
      <c r="U240" s="27"/>
    </row>
    <row r="241" spans="2:21" hidden="1" outlineLevel="1" x14ac:dyDescent="0.25">
      <c r="B241" s="4"/>
      <c r="C241" s="3"/>
      <c r="U241" s="27"/>
    </row>
    <row r="242" spans="2:21" hidden="1" outlineLevel="1" x14ac:dyDescent="0.25">
      <c r="B242" s="4"/>
      <c r="C242" s="3"/>
      <c r="U242" s="27"/>
    </row>
    <row r="243" spans="2:21" hidden="1" outlineLevel="1" x14ac:dyDescent="0.25">
      <c r="B243" s="4"/>
      <c r="C243" s="3"/>
      <c r="U243" s="27"/>
    </row>
    <row r="244" spans="2:21" hidden="1" outlineLevel="1" x14ac:dyDescent="0.25">
      <c r="B244" s="4"/>
      <c r="C244" s="3"/>
      <c r="U244" s="27"/>
    </row>
    <row r="245" spans="2:21" hidden="1" outlineLevel="1" x14ac:dyDescent="0.25">
      <c r="B245" s="4"/>
      <c r="C245" s="3"/>
      <c r="U245" s="27"/>
    </row>
    <row r="246" spans="2:21" hidden="1" outlineLevel="1" x14ac:dyDescent="0.25">
      <c r="B246" s="4"/>
      <c r="C246" s="3"/>
      <c r="U246" s="27"/>
    </row>
    <row r="247" spans="2:21" hidden="1" outlineLevel="1" x14ac:dyDescent="0.25">
      <c r="B247" s="4"/>
      <c r="C247" s="3"/>
      <c r="U247" s="27"/>
    </row>
    <row r="248" spans="2:21" hidden="1" outlineLevel="1" x14ac:dyDescent="0.25">
      <c r="B248" s="4"/>
      <c r="C248" s="3"/>
      <c r="U248" s="27"/>
    </row>
    <row r="249" spans="2:21" hidden="1" outlineLevel="1" x14ac:dyDescent="0.25">
      <c r="B249" s="4"/>
      <c r="C249" s="3"/>
      <c r="U249" s="27"/>
    </row>
    <row r="250" spans="2:21" hidden="1" outlineLevel="1" x14ac:dyDescent="0.25">
      <c r="B250" s="4"/>
      <c r="C250" s="3"/>
      <c r="U250" s="27"/>
    </row>
    <row r="251" spans="2:21" hidden="1" outlineLevel="1" x14ac:dyDescent="0.25">
      <c r="B251" s="4"/>
      <c r="C251" s="3"/>
      <c r="U251" s="27"/>
    </row>
    <row r="252" spans="2:21" hidden="1" outlineLevel="1" x14ac:dyDescent="0.25">
      <c r="B252" s="4"/>
      <c r="C252" s="3"/>
      <c r="U252" s="27"/>
    </row>
    <row r="253" spans="2:21" hidden="1" outlineLevel="1" x14ac:dyDescent="0.25">
      <c r="B253" s="4"/>
      <c r="C253" s="3"/>
      <c r="U253" s="27"/>
    </row>
    <row r="254" spans="2:21" hidden="1" outlineLevel="1" x14ac:dyDescent="0.25">
      <c r="B254" s="4"/>
      <c r="C254" s="3"/>
      <c r="U254" s="27"/>
    </row>
    <row r="255" spans="2:21" hidden="1" outlineLevel="1" x14ac:dyDescent="0.25">
      <c r="B255" s="4"/>
      <c r="C255" s="3"/>
      <c r="U255" s="27"/>
    </row>
    <row r="256" spans="2:21" hidden="1" outlineLevel="1" x14ac:dyDescent="0.25">
      <c r="B256" s="4"/>
      <c r="C256" s="3"/>
      <c r="U256" s="27"/>
    </row>
    <row r="257" spans="2:21" hidden="1" outlineLevel="1" x14ac:dyDescent="0.25">
      <c r="B257" s="4"/>
      <c r="C257" s="3"/>
      <c r="U257" s="27"/>
    </row>
    <row r="258" spans="2:21" hidden="1" outlineLevel="1" x14ac:dyDescent="0.25">
      <c r="B258" s="4"/>
      <c r="C258" s="3"/>
      <c r="U258" s="27"/>
    </row>
    <row r="259" spans="2:21" hidden="1" outlineLevel="1" x14ac:dyDescent="0.25">
      <c r="B259" s="4"/>
      <c r="C259" s="3"/>
      <c r="U259" s="27"/>
    </row>
    <row r="260" spans="2:21" hidden="1" outlineLevel="1" x14ac:dyDescent="0.25">
      <c r="B260" s="4"/>
      <c r="C260" s="3"/>
      <c r="U260" s="27"/>
    </row>
    <row r="261" spans="2:21" hidden="1" outlineLevel="1" x14ac:dyDescent="0.25">
      <c r="B261" s="4"/>
      <c r="C261" s="3"/>
      <c r="U261" s="27"/>
    </row>
    <row r="262" spans="2:21" hidden="1" outlineLevel="1" x14ac:dyDescent="0.25">
      <c r="B262" s="4"/>
      <c r="C262" s="3"/>
      <c r="U262" s="27"/>
    </row>
    <row r="263" spans="2:21" hidden="1" outlineLevel="1" x14ac:dyDescent="0.25">
      <c r="B263" s="4"/>
      <c r="C263" s="3"/>
      <c r="U263" s="27"/>
    </row>
    <row r="264" spans="2:21" hidden="1" outlineLevel="1" x14ac:dyDescent="0.25">
      <c r="B264" s="4"/>
      <c r="C264" s="3"/>
      <c r="U264" s="27"/>
    </row>
    <row r="265" spans="2:21" hidden="1" outlineLevel="1" x14ac:dyDescent="0.25">
      <c r="B265" s="4"/>
      <c r="C265" s="3"/>
      <c r="U265" s="27"/>
    </row>
    <row r="266" spans="2:21" hidden="1" outlineLevel="1" x14ac:dyDescent="0.25">
      <c r="B266" s="4"/>
      <c r="C266" s="3"/>
      <c r="U266" s="27"/>
    </row>
    <row r="267" spans="2:21" hidden="1" outlineLevel="1" x14ac:dyDescent="0.25">
      <c r="B267" s="4"/>
      <c r="C267" s="3"/>
      <c r="U267" s="27"/>
    </row>
    <row r="268" spans="2:21" hidden="1" outlineLevel="1" x14ac:dyDescent="0.25">
      <c r="B268" s="4"/>
      <c r="C268" s="3"/>
      <c r="U268" s="27"/>
    </row>
    <row r="269" spans="2:21" hidden="1" outlineLevel="1" x14ac:dyDescent="0.25">
      <c r="B269" s="4"/>
      <c r="C269" s="3"/>
      <c r="U269" s="27"/>
    </row>
    <row r="270" spans="2:21" hidden="1" outlineLevel="1" x14ac:dyDescent="0.25">
      <c r="B270" s="4"/>
      <c r="C270" s="3"/>
      <c r="U270" s="27"/>
    </row>
    <row r="271" spans="2:21" hidden="1" outlineLevel="1" x14ac:dyDescent="0.25">
      <c r="B271" s="4"/>
      <c r="C271" s="3"/>
      <c r="U271" s="27"/>
    </row>
    <row r="272" spans="2:21" hidden="1" outlineLevel="1" x14ac:dyDescent="0.25">
      <c r="B272" s="4"/>
      <c r="C272" s="3"/>
      <c r="U272" s="27"/>
    </row>
    <row r="273" spans="2:21" hidden="1" outlineLevel="1" x14ac:dyDescent="0.25">
      <c r="B273" s="4"/>
      <c r="C273" s="3"/>
      <c r="U273" s="27"/>
    </row>
    <row r="274" spans="2:21" hidden="1" outlineLevel="1" x14ac:dyDescent="0.25">
      <c r="B274" s="4"/>
      <c r="C274" s="3"/>
      <c r="U274" s="27"/>
    </row>
    <row r="275" spans="2:21" hidden="1" outlineLevel="1" x14ac:dyDescent="0.25">
      <c r="B275" s="4"/>
      <c r="C275" s="3"/>
      <c r="U275" s="27"/>
    </row>
    <row r="276" spans="2:21" hidden="1" outlineLevel="1" x14ac:dyDescent="0.25">
      <c r="B276" s="4"/>
      <c r="C276" s="3"/>
      <c r="U276" s="27"/>
    </row>
    <row r="277" spans="2:21" hidden="1" outlineLevel="1" x14ac:dyDescent="0.25">
      <c r="B277" s="4"/>
      <c r="C277" s="3"/>
      <c r="U277" s="27"/>
    </row>
    <row r="278" spans="2:21" hidden="1" outlineLevel="1" x14ac:dyDescent="0.25">
      <c r="B278" s="4"/>
      <c r="C278" s="3"/>
      <c r="U278" s="27"/>
    </row>
    <row r="279" spans="2:21" hidden="1" outlineLevel="1" x14ac:dyDescent="0.25">
      <c r="B279" s="4"/>
      <c r="C279" s="3"/>
      <c r="U279" s="27"/>
    </row>
    <row r="280" spans="2:21" hidden="1" outlineLevel="1" x14ac:dyDescent="0.25">
      <c r="B280" s="4"/>
      <c r="C280" s="3"/>
      <c r="U280" s="27"/>
    </row>
    <row r="281" spans="2:21" hidden="1" outlineLevel="1" x14ac:dyDescent="0.25">
      <c r="B281" s="4"/>
      <c r="C281" s="3"/>
      <c r="U281" s="27"/>
    </row>
    <row r="282" spans="2:21" hidden="1" outlineLevel="1" x14ac:dyDescent="0.25">
      <c r="B282" s="4"/>
      <c r="C282" s="3"/>
      <c r="U282" s="27"/>
    </row>
    <row r="283" spans="2:21" hidden="1" outlineLevel="1" x14ac:dyDescent="0.25">
      <c r="B283" s="4"/>
      <c r="C283" s="3"/>
      <c r="U283" s="27"/>
    </row>
    <row r="284" spans="2:21" hidden="1" outlineLevel="1" x14ac:dyDescent="0.25">
      <c r="B284" s="4"/>
      <c r="C284" s="3"/>
      <c r="U284" s="27"/>
    </row>
    <row r="285" spans="2:21" hidden="1" outlineLevel="1" x14ac:dyDescent="0.25">
      <c r="B285" s="4"/>
      <c r="C285" s="3"/>
      <c r="U285" s="27"/>
    </row>
    <row r="286" spans="2:21" hidden="1" outlineLevel="1" x14ac:dyDescent="0.25">
      <c r="B286" s="4"/>
      <c r="C286" s="3"/>
      <c r="U286" s="27"/>
    </row>
    <row r="287" spans="2:21" hidden="1" outlineLevel="1" x14ac:dyDescent="0.25">
      <c r="B287" s="4"/>
      <c r="C287" s="3"/>
      <c r="U287" s="27"/>
    </row>
    <row r="288" spans="2:21" hidden="1" outlineLevel="1" x14ac:dyDescent="0.25">
      <c r="B288" s="4"/>
      <c r="C288" s="3"/>
      <c r="U288" s="27"/>
    </row>
    <row r="289" spans="1:153" hidden="1" outlineLevel="1" x14ac:dyDescent="0.25">
      <c r="B289" s="4"/>
      <c r="C289" s="3"/>
      <c r="U289" s="27"/>
    </row>
    <row r="290" spans="1:153" hidden="1" outlineLevel="1" x14ac:dyDescent="0.25">
      <c r="B290" s="4"/>
      <c r="C290" s="3"/>
      <c r="U290" s="27"/>
    </row>
    <row r="291" spans="1:153" hidden="1" outlineLevel="1" x14ac:dyDescent="0.25">
      <c r="B291" s="4"/>
      <c r="C291" s="3"/>
      <c r="U291" s="27"/>
    </row>
    <row r="292" spans="1:153" hidden="1" outlineLevel="1" x14ac:dyDescent="0.25">
      <c r="B292" s="4"/>
      <c r="C292" s="3"/>
      <c r="U292" s="27"/>
    </row>
    <row r="293" spans="1:153" hidden="1" outlineLevel="1" x14ac:dyDescent="0.25">
      <c r="B293" s="4"/>
      <c r="C293" s="3"/>
      <c r="U293" s="27"/>
    </row>
    <row r="294" spans="1:153" hidden="1" outlineLevel="1" x14ac:dyDescent="0.25">
      <c r="B294" s="4"/>
      <c r="C294" s="3"/>
      <c r="U294" s="27"/>
    </row>
    <row r="295" spans="1:153" hidden="1" outlineLevel="1" x14ac:dyDescent="0.25">
      <c r="B295" s="4"/>
      <c r="C295" s="3"/>
      <c r="U295" s="27"/>
    </row>
    <row r="296" spans="1:153" hidden="1" outlineLevel="1" x14ac:dyDescent="0.25">
      <c r="B296" s="4"/>
      <c r="C296" s="3"/>
      <c r="U296" s="27"/>
    </row>
    <row r="297" spans="1:153" hidden="1" outlineLevel="1" x14ac:dyDescent="0.25">
      <c r="B297" s="4"/>
      <c r="C297" s="3"/>
      <c r="U297" s="27"/>
    </row>
    <row r="298" spans="1:153" s="2" customFormat="1" ht="5.25" hidden="1" customHeight="1" outlineLevel="1" x14ac:dyDescent="0.25">
      <c r="A298" s="32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27"/>
      <c r="DG298" s="27"/>
      <c r="DH298" s="27"/>
      <c r="DI298" s="27"/>
      <c r="DJ298" s="27"/>
      <c r="DK298" s="27"/>
      <c r="DL298" s="27"/>
      <c r="DM298" s="27"/>
      <c r="DN298" s="27"/>
      <c r="DO298" s="27"/>
      <c r="DP298" s="27"/>
      <c r="DQ298" s="27"/>
      <c r="DR298" s="27"/>
      <c r="DS298" s="27"/>
      <c r="DT298" s="27"/>
      <c r="DU298" s="27"/>
      <c r="DV298" s="27"/>
      <c r="DW298" s="27"/>
      <c r="DX298" s="27"/>
      <c r="DY298" s="27"/>
      <c r="DZ298" s="27"/>
      <c r="EA298" s="27"/>
      <c r="EB298" s="27"/>
      <c r="EC298" s="27"/>
      <c r="ED298" s="27"/>
      <c r="EE298" s="27"/>
      <c r="EF298" s="27"/>
      <c r="EG298" s="27"/>
      <c r="EH298" s="27"/>
      <c r="EI298" s="27"/>
      <c r="EJ298" s="27"/>
      <c r="EK298" s="27"/>
      <c r="EL298" s="27"/>
      <c r="EM298" s="27"/>
      <c r="EN298" s="27"/>
      <c r="EO298" s="27"/>
      <c r="EP298" s="27"/>
      <c r="EQ298" s="27"/>
      <c r="ER298" s="27"/>
      <c r="ES298" s="27"/>
      <c r="ET298" s="27"/>
      <c r="EU298" s="27"/>
      <c r="EV298" s="27"/>
      <c r="EW298" s="27"/>
    </row>
    <row r="299" spans="1:153" s="2" customFormat="1" ht="5.25" customHeight="1" collapsed="1" x14ac:dyDescent="0.25">
      <c r="A299" s="32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27"/>
      <c r="DG299" s="27"/>
      <c r="DH299" s="27"/>
      <c r="DI299" s="27"/>
      <c r="DJ299" s="27"/>
      <c r="DK299" s="27"/>
      <c r="DL299" s="27"/>
      <c r="DM299" s="27"/>
      <c r="DN299" s="27"/>
      <c r="DO299" s="27"/>
      <c r="DP299" s="27"/>
      <c r="DQ299" s="27"/>
      <c r="DR299" s="27"/>
      <c r="DS299" s="27"/>
      <c r="DT299" s="27"/>
      <c r="DU299" s="27"/>
      <c r="DV299" s="27"/>
      <c r="DW299" s="27"/>
      <c r="DX299" s="27"/>
      <c r="DY299" s="27"/>
      <c r="DZ299" s="27"/>
      <c r="EA299" s="27"/>
      <c r="EB299" s="27"/>
      <c r="EC299" s="27"/>
      <c r="ED299" s="27"/>
      <c r="EE299" s="27"/>
      <c r="EF299" s="27"/>
      <c r="EG299" s="27"/>
      <c r="EH299" s="27"/>
      <c r="EI299" s="27"/>
      <c r="EJ299" s="27"/>
      <c r="EK299" s="27"/>
      <c r="EL299" s="27"/>
      <c r="EM299" s="27"/>
      <c r="EN299" s="27"/>
      <c r="EO299" s="27"/>
      <c r="EP299" s="27"/>
      <c r="EQ299" s="27"/>
      <c r="ER299" s="27"/>
      <c r="ES299" s="27"/>
      <c r="ET299" s="27"/>
      <c r="EU299" s="27"/>
      <c r="EV299" s="27"/>
      <c r="EW299" s="27"/>
    </row>
    <row r="300" spans="1:153" hidden="1" outlineLevel="1" x14ac:dyDescent="0.25"/>
    <row r="301" spans="1:153" hidden="1" outlineLevel="1" x14ac:dyDescent="0.25">
      <c r="A301" s="33"/>
      <c r="B301" s="6"/>
      <c r="C301" s="6"/>
      <c r="D301" s="6"/>
      <c r="E301" s="6"/>
      <c r="F301" s="6"/>
      <c r="G301" s="6"/>
      <c r="H301" s="6"/>
      <c r="I301" s="6"/>
      <c r="J301" s="6"/>
    </row>
    <row r="302" spans="1:153" hidden="1" outlineLevel="1" x14ac:dyDescent="0.25">
      <c r="A302" s="34"/>
      <c r="B302" s="7"/>
      <c r="C302" s="7"/>
      <c r="D302" s="7"/>
      <c r="E302" s="7"/>
      <c r="F302" s="7"/>
      <c r="G302" s="7"/>
      <c r="H302" s="7"/>
      <c r="I302" s="7"/>
      <c r="J302" s="7"/>
    </row>
    <row r="303" spans="1:153" hidden="1" outlineLevel="1" x14ac:dyDescent="0.25">
      <c r="A303" s="34"/>
      <c r="B303" s="7"/>
      <c r="C303" s="7"/>
      <c r="D303" s="7"/>
      <c r="E303" s="7"/>
      <c r="F303" s="7"/>
      <c r="G303" s="7"/>
      <c r="H303" s="7"/>
      <c r="I303" s="7"/>
      <c r="J303" s="7"/>
    </row>
    <row r="304" spans="1:153" hidden="1" outlineLevel="1" x14ac:dyDescent="0.25">
      <c r="A304" s="34"/>
      <c r="B304" s="7"/>
      <c r="C304" s="7"/>
      <c r="D304" s="7"/>
      <c r="E304" s="7"/>
      <c r="F304" s="7"/>
      <c r="G304" s="7"/>
      <c r="H304" s="7"/>
      <c r="I304" s="7"/>
      <c r="J304" s="7"/>
    </row>
    <row r="305" spans="1:10" hidden="1" outlineLevel="1" x14ac:dyDescent="0.25">
      <c r="A305" s="34"/>
      <c r="B305" s="7"/>
      <c r="C305" s="7"/>
      <c r="D305" s="7"/>
      <c r="E305" s="7"/>
      <c r="F305" s="7"/>
      <c r="G305" s="7"/>
      <c r="H305" s="7"/>
      <c r="I305" s="7"/>
      <c r="J305" s="7"/>
    </row>
    <row r="306" spans="1:10" hidden="1" outlineLevel="1" x14ac:dyDescent="0.25">
      <c r="A306" s="34"/>
      <c r="B306" s="7"/>
      <c r="C306" s="7"/>
      <c r="D306" s="7"/>
      <c r="E306" s="7"/>
      <c r="F306" s="7"/>
      <c r="G306" s="7"/>
      <c r="H306" s="7"/>
      <c r="I306" s="7"/>
      <c r="J306" s="7"/>
    </row>
    <row r="307" spans="1:10" hidden="1" outlineLevel="1" x14ac:dyDescent="0.25"/>
    <row r="308" spans="1:10" hidden="1" outlineLevel="1" x14ac:dyDescent="0.25"/>
    <row r="309" spans="1:10" hidden="1" outlineLevel="1" x14ac:dyDescent="0.25"/>
    <row r="310" spans="1:10" hidden="1" outlineLevel="1" x14ac:dyDescent="0.25"/>
    <row r="311" spans="1:10" hidden="1" outlineLevel="1" x14ac:dyDescent="0.25"/>
    <row r="312" spans="1:10" hidden="1" outlineLevel="1" x14ac:dyDescent="0.25"/>
    <row r="313" spans="1:10" hidden="1" outlineLevel="1" x14ac:dyDescent="0.25"/>
    <row r="314" spans="1:10" hidden="1" outlineLevel="1" x14ac:dyDescent="0.25"/>
    <row r="315" spans="1:10" hidden="1" outlineLevel="1" x14ac:dyDescent="0.25"/>
    <row r="316" spans="1:10" hidden="1" outlineLevel="1" x14ac:dyDescent="0.25"/>
    <row r="317" spans="1:10" hidden="1" outlineLevel="1" x14ac:dyDescent="0.25"/>
    <row r="318" spans="1:10" hidden="1" outlineLevel="1" x14ac:dyDescent="0.25"/>
    <row r="319" spans="1:10" hidden="1" outlineLevel="1" x14ac:dyDescent="0.25"/>
    <row r="320" spans="1:10" hidden="1" outlineLevel="1" x14ac:dyDescent="0.25"/>
    <row r="321" spans="1:153" hidden="1" outlineLevel="1" x14ac:dyDescent="0.25"/>
    <row r="322" spans="1:153" hidden="1" outlineLevel="1" x14ac:dyDescent="0.25"/>
    <row r="323" spans="1:153" hidden="1" outlineLevel="1" x14ac:dyDescent="0.25"/>
    <row r="324" spans="1:153" hidden="1" outlineLevel="1" x14ac:dyDescent="0.25"/>
    <row r="325" spans="1:153" hidden="1" outlineLevel="1" x14ac:dyDescent="0.25"/>
    <row r="326" spans="1:153" hidden="1" outlineLevel="1" x14ac:dyDescent="0.25"/>
    <row r="327" spans="1:153" hidden="1" outlineLevel="1" x14ac:dyDescent="0.25"/>
    <row r="328" spans="1:153" hidden="1" outlineLevel="1" x14ac:dyDescent="0.25"/>
    <row r="329" spans="1:153" hidden="1" outlineLevel="1" x14ac:dyDescent="0.25"/>
    <row r="330" spans="1:153" hidden="1" outlineLevel="1" x14ac:dyDescent="0.25"/>
    <row r="331" spans="1:153" s="2" customFormat="1" ht="5.25" hidden="1" customHeight="1" outlineLevel="1" x14ac:dyDescent="0.25">
      <c r="A331" s="32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  <c r="CJ331" s="27"/>
      <c r="CK331" s="27"/>
      <c r="CL331" s="27"/>
      <c r="CM331" s="27"/>
      <c r="CN331" s="27"/>
      <c r="CO331" s="27"/>
      <c r="CP331" s="27"/>
      <c r="CQ331" s="27"/>
      <c r="CR331" s="27"/>
      <c r="CS331" s="27"/>
      <c r="CT331" s="27"/>
      <c r="CU331" s="27"/>
      <c r="CV331" s="27"/>
      <c r="CW331" s="27"/>
      <c r="CX331" s="27"/>
      <c r="CY331" s="27"/>
      <c r="CZ331" s="27"/>
      <c r="DA331" s="27"/>
      <c r="DB331" s="27"/>
      <c r="DC331" s="27"/>
      <c r="DD331" s="27"/>
      <c r="DE331" s="27"/>
      <c r="DF331" s="27"/>
      <c r="DG331" s="27"/>
      <c r="DH331" s="27"/>
      <c r="DI331" s="27"/>
      <c r="DJ331" s="27"/>
      <c r="DK331" s="27"/>
      <c r="DL331" s="27"/>
      <c r="DM331" s="27"/>
      <c r="DN331" s="27"/>
      <c r="DO331" s="27"/>
      <c r="DP331" s="27"/>
      <c r="DQ331" s="27"/>
      <c r="DR331" s="27"/>
      <c r="DS331" s="27"/>
      <c r="DT331" s="27"/>
      <c r="DU331" s="27"/>
      <c r="DV331" s="27"/>
      <c r="DW331" s="27"/>
      <c r="DX331" s="27"/>
      <c r="DY331" s="27"/>
      <c r="DZ331" s="27"/>
      <c r="EA331" s="27"/>
      <c r="EB331" s="27"/>
      <c r="EC331" s="27"/>
      <c r="ED331" s="27"/>
      <c r="EE331" s="27"/>
      <c r="EF331" s="27"/>
      <c r="EG331" s="27"/>
      <c r="EH331" s="27"/>
      <c r="EI331" s="27"/>
      <c r="EJ331" s="27"/>
      <c r="EK331" s="27"/>
      <c r="EL331" s="27"/>
      <c r="EM331" s="27"/>
      <c r="EN331" s="27"/>
      <c r="EO331" s="27"/>
      <c r="EP331" s="27"/>
      <c r="EQ331" s="27"/>
      <c r="ER331" s="27"/>
      <c r="ES331" s="27"/>
      <c r="ET331" s="27"/>
      <c r="EU331" s="27"/>
      <c r="EV331" s="27"/>
      <c r="EW331" s="27"/>
    </row>
    <row r="332" spans="1:153" hidden="1" outlineLevel="1" x14ac:dyDescent="0.25"/>
    <row r="333" spans="1:153" hidden="1" outlineLevel="1" x14ac:dyDescent="0.25">
      <c r="A333" s="33"/>
      <c r="B333" s="6"/>
      <c r="C333" s="6"/>
      <c r="D333" s="6"/>
      <c r="E333" s="6"/>
      <c r="F333" s="6"/>
      <c r="G333" s="6"/>
      <c r="H333" s="6"/>
      <c r="I333" s="6"/>
      <c r="J333" s="6"/>
    </row>
    <row r="334" spans="1:153" hidden="1" outlineLevel="1" x14ac:dyDescent="0.25">
      <c r="A334" s="34"/>
      <c r="B334" s="7"/>
      <c r="C334" s="7"/>
      <c r="D334" s="7"/>
      <c r="E334" s="7"/>
      <c r="F334" s="7"/>
      <c r="G334" s="7"/>
      <c r="H334" s="7"/>
      <c r="I334" s="7"/>
      <c r="J334" s="7"/>
    </row>
    <row r="335" spans="1:153" hidden="1" outlineLevel="1" x14ac:dyDescent="0.25">
      <c r="A335" s="34"/>
      <c r="B335" s="7"/>
      <c r="C335" s="7"/>
      <c r="D335" s="7"/>
      <c r="E335" s="7"/>
      <c r="F335" s="7"/>
      <c r="G335" s="7"/>
      <c r="H335" s="7"/>
      <c r="I335" s="7"/>
      <c r="J335" s="7"/>
    </row>
    <row r="336" spans="1:153" hidden="1" outlineLevel="1" x14ac:dyDescent="0.25">
      <c r="A336" s="34"/>
      <c r="B336" s="7"/>
      <c r="C336" s="7"/>
      <c r="D336" s="7"/>
      <c r="E336" s="7"/>
      <c r="F336" s="7"/>
      <c r="G336" s="7"/>
      <c r="H336" s="7"/>
      <c r="I336" s="7"/>
      <c r="J336" s="7"/>
    </row>
    <row r="337" spans="1:10" hidden="1" outlineLevel="1" x14ac:dyDescent="0.25">
      <c r="A337" s="34"/>
      <c r="B337" s="7"/>
      <c r="C337" s="7"/>
      <c r="D337" s="7"/>
      <c r="E337" s="7"/>
      <c r="F337" s="7"/>
      <c r="G337" s="7"/>
      <c r="H337" s="7"/>
      <c r="I337" s="7"/>
      <c r="J337" s="7"/>
    </row>
    <row r="338" spans="1:10" hidden="1" outlineLevel="1" x14ac:dyDescent="0.25">
      <c r="A338" s="34"/>
      <c r="B338" s="7"/>
      <c r="C338" s="7"/>
      <c r="D338" s="7"/>
      <c r="E338" s="7"/>
      <c r="F338" s="7"/>
      <c r="G338" s="7"/>
      <c r="H338" s="7"/>
      <c r="I338" s="7"/>
      <c r="J338" s="7"/>
    </row>
    <row r="339" spans="1:10" hidden="1" outlineLevel="1" x14ac:dyDescent="0.25"/>
    <row r="340" spans="1:10" hidden="1" outlineLevel="1" x14ac:dyDescent="0.25"/>
    <row r="341" spans="1:10" hidden="1" outlineLevel="1" x14ac:dyDescent="0.25"/>
    <row r="342" spans="1:10" hidden="1" outlineLevel="1" x14ac:dyDescent="0.25"/>
    <row r="343" spans="1:10" hidden="1" outlineLevel="1" x14ac:dyDescent="0.25"/>
    <row r="344" spans="1:10" hidden="1" outlineLevel="1" x14ac:dyDescent="0.25"/>
    <row r="345" spans="1:10" hidden="1" outlineLevel="1" x14ac:dyDescent="0.25"/>
    <row r="346" spans="1:10" hidden="1" outlineLevel="1" x14ac:dyDescent="0.25"/>
    <row r="347" spans="1:10" hidden="1" outlineLevel="1" x14ac:dyDescent="0.25"/>
    <row r="348" spans="1:10" hidden="1" outlineLevel="1" x14ac:dyDescent="0.25"/>
    <row r="349" spans="1:10" hidden="1" outlineLevel="1" x14ac:dyDescent="0.25"/>
    <row r="350" spans="1:10" hidden="1" outlineLevel="1" x14ac:dyDescent="0.25"/>
    <row r="351" spans="1:10" hidden="1" outlineLevel="1" x14ac:dyDescent="0.25"/>
    <row r="352" spans="1:10" hidden="1" outlineLevel="1" x14ac:dyDescent="0.25"/>
    <row r="353" spans="1:153" hidden="1" outlineLevel="1" x14ac:dyDescent="0.25"/>
    <row r="354" spans="1:153" hidden="1" outlineLevel="1" x14ac:dyDescent="0.25"/>
    <row r="355" spans="1:153" hidden="1" outlineLevel="1" x14ac:dyDescent="0.25"/>
    <row r="356" spans="1:153" hidden="1" outlineLevel="1" x14ac:dyDescent="0.25"/>
    <row r="357" spans="1:153" hidden="1" outlineLevel="1" x14ac:dyDescent="0.25"/>
    <row r="358" spans="1:153" hidden="1" outlineLevel="1" x14ac:dyDescent="0.25"/>
    <row r="359" spans="1:153" hidden="1" outlineLevel="1" x14ac:dyDescent="0.25"/>
    <row r="360" spans="1:153" hidden="1" outlineLevel="1" x14ac:dyDescent="0.25"/>
    <row r="361" spans="1:153" hidden="1" outlineLevel="1" x14ac:dyDescent="0.25"/>
    <row r="362" spans="1:153" hidden="1" outlineLevel="1" x14ac:dyDescent="0.25"/>
    <row r="363" spans="1:153" s="2" customFormat="1" ht="5.25" hidden="1" customHeight="1" outlineLevel="1" x14ac:dyDescent="0.25">
      <c r="A363" s="32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7"/>
      <c r="CF363" s="27"/>
      <c r="CG363" s="27"/>
      <c r="CH363" s="27"/>
      <c r="CI363" s="27"/>
      <c r="CJ363" s="27"/>
      <c r="CK363" s="27"/>
      <c r="CL363" s="27"/>
      <c r="CM363" s="27"/>
      <c r="CN363" s="27"/>
      <c r="CO363" s="27"/>
      <c r="CP363" s="27"/>
      <c r="CQ363" s="27"/>
      <c r="CR363" s="27"/>
      <c r="CS363" s="27"/>
      <c r="CT363" s="27"/>
      <c r="CU363" s="27"/>
      <c r="CV363" s="27"/>
      <c r="CW363" s="27"/>
      <c r="CX363" s="27"/>
      <c r="CY363" s="27"/>
      <c r="CZ363" s="27"/>
      <c r="DA363" s="27"/>
      <c r="DB363" s="27"/>
      <c r="DC363" s="27"/>
      <c r="DD363" s="27"/>
      <c r="DE363" s="27"/>
      <c r="DF363" s="27"/>
      <c r="DG363" s="27"/>
      <c r="DH363" s="27"/>
      <c r="DI363" s="27"/>
      <c r="DJ363" s="27"/>
      <c r="DK363" s="27"/>
      <c r="DL363" s="27"/>
      <c r="DM363" s="27"/>
      <c r="DN363" s="27"/>
      <c r="DO363" s="27"/>
      <c r="DP363" s="27"/>
      <c r="DQ363" s="27"/>
      <c r="DR363" s="27"/>
      <c r="DS363" s="27"/>
      <c r="DT363" s="27"/>
      <c r="DU363" s="27"/>
      <c r="DV363" s="27"/>
      <c r="DW363" s="27"/>
      <c r="DX363" s="27"/>
      <c r="DY363" s="27"/>
      <c r="DZ363" s="27"/>
      <c r="EA363" s="27"/>
      <c r="EB363" s="27"/>
      <c r="EC363" s="27"/>
      <c r="ED363" s="27"/>
      <c r="EE363" s="27"/>
      <c r="EF363" s="27"/>
      <c r="EG363" s="27"/>
      <c r="EH363" s="27"/>
      <c r="EI363" s="27"/>
      <c r="EJ363" s="27"/>
      <c r="EK363" s="27"/>
      <c r="EL363" s="27"/>
      <c r="EM363" s="27"/>
      <c r="EN363" s="27"/>
      <c r="EO363" s="27"/>
      <c r="EP363" s="27"/>
      <c r="EQ363" s="27"/>
      <c r="ER363" s="27"/>
      <c r="ES363" s="27"/>
      <c r="ET363" s="27"/>
      <c r="EU363" s="27"/>
      <c r="EV363" s="27"/>
      <c r="EW363" s="27"/>
    </row>
    <row r="364" spans="1:153" collapsed="1" x14ac:dyDescent="0.25"/>
    <row r="365" spans="1:153" x14ac:dyDescent="0.25">
      <c r="A365" s="35"/>
      <c r="B365" s="11" t="s">
        <v>0</v>
      </c>
      <c r="C365" s="11" t="s">
        <v>1</v>
      </c>
      <c r="D365" s="11" t="s">
        <v>2</v>
      </c>
      <c r="E365" s="11" t="s">
        <v>3</v>
      </c>
      <c r="F365" s="12" t="s">
        <v>27</v>
      </c>
      <c r="G365" s="11" t="s">
        <v>4</v>
      </c>
      <c r="H365" s="11" t="s">
        <v>5</v>
      </c>
      <c r="I365" s="11" t="s">
        <v>6</v>
      </c>
      <c r="J365" s="12" t="s">
        <v>28</v>
      </c>
      <c r="K365" s="11" t="s">
        <v>7</v>
      </c>
    </row>
    <row r="366" spans="1:153" x14ac:dyDescent="0.25">
      <c r="A366" s="36" t="s">
        <v>8</v>
      </c>
      <c r="B366" s="13">
        <f>179.98/0.702804</f>
        <v>256.08846847769792</v>
      </c>
      <c r="C366" s="13">
        <f>211.38/0.702804</f>
        <v>300.76664333156896</v>
      </c>
      <c r="D366" s="13">
        <f>136.55/0.702804</f>
        <v>194.29314574191383</v>
      </c>
      <c r="E366" s="13">
        <f>163.23/0.702804</f>
        <v>232.25536564959788</v>
      </c>
      <c r="F366" s="12"/>
      <c r="G366" s="13">
        <f>159.13/0.702804</f>
        <v>226.42159122600327</v>
      </c>
      <c r="H366" s="13">
        <f>148.34/0.702804</f>
        <v>211.06880438927496</v>
      </c>
      <c r="I366" s="13">
        <f>142.47/0.702804</f>
        <v>202.71654686086021</v>
      </c>
      <c r="J366" s="12"/>
      <c r="K366" s="13">
        <f>267.44/0.702804</f>
        <v>380.5328370356458</v>
      </c>
    </row>
    <row r="367" spans="1:153" hidden="1" outlineLevel="1" x14ac:dyDescent="0.25">
      <c r="A367" s="36" t="s">
        <v>9</v>
      </c>
      <c r="B367" s="13">
        <f>200.01/0.702804</f>
        <v>284.5885908446736</v>
      </c>
      <c r="C367" s="13">
        <f>234.79/0.702804</f>
        <v>334.07607241848365</v>
      </c>
      <c r="D367" s="13">
        <f>150.68/0.702804</f>
        <v>214.39832442615582</v>
      </c>
      <c r="E367" s="13">
        <f>186.15/0.702804</f>
        <v>264.86758754930253</v>
      </c>
      <c r="F367" s="12"/>
      <c r="G367" s="13">
        <f>172.84/0.702804</f>
        <v>245.92916374977946</v>
      </c>
      <c r="H367" s="13">
        <f>168.69/0.702804</f>
        <v>240.02424573565318</v>
      </c>
      <c r="I367" s="13">
        <f>156.18/0.702804</f>
        <v>222.22411938463642</v>
      </c>
      <c r="J367" s="12"/>
      <c r="K367" s="13">
        <f>273.8/0.702804</f>
        <v>389.58230175127068</v>
      </c>
    </row>
    <row r="368" spans="1:153" hidden="1" outlineLevel="1" x14ac:dyDescent="0.25">
      <c r="A368" s="36" t="s">
        <v>10</v>
      </c>
      <c r="B368" s="13">
        <f>224.06/0.702804</f>
        <v>318.80865789039336</v>
      </c>
      <c r="C368" s="13">
        <f>262.69/0.702804</f>
        <v>373.7741959351398</v>
      </c>
      <c r="D368" s="13">
        <f>173.55/0.702804</f>
        <v>246.9394027353288</v>
      </c>
      <c r="E368" s="13">
        <f>212.55/0.702804</f>
        <v>302.43140335000942</v>
      </c>
      <c r="F368" s="12"/>
      <c r="G368" s="13">
        <f>190.55/0.702804</f>
        <v>271.12822351608702</v>
      </c>
      <c r="H368" s="13">
        <f>185.4/0.702804</f>
        <v>263.8004336913279</v>
      </c>
      <c r="I368" s="13">
        <f>178.24/0.702804</f>
        <v>253.6126715271968</v>
      </c>
      <c r="J368" s="12"/>
      <c r="K368" s="13">
        <f>278.19/0.702804</f>
        <v>395.82870899994879</v>
      </c>
    </row>
    <row r="369" spans="1:11" hidden="1" outlineLevel="1" x14ac:dyDescent="0.25">
      <c r="A369" s="36" t="s">
        <v>11</v>
      </c>
      <c r="B369" s="13">
        <f>242.97/0.702804</f>
        <v>345.71516382946027</v>
      </c>
      <c r="C369" s="13">
        <f>281.75/0.702804</f>
        <v>400.89413264580168</v>
      </c>
      <c r="D369" s="13">
        <f>192.3/0.702804</f>
        <v>273.61824918469449</v>
      </c>
      <c r="E369" s="13">
        <f>222.11/0.702804</f>
        <v>316.03405785965936</v>
      </c>
      <c r="F369" s="12"/>
      <c r="G369" s="13">
        <f>207.95/0.702804</f>
        <v>295.88619302109834</v>
      </c>
      <c r="H369" s="13">
        <f>216.23/0.702804</f>
        <v>307.66757161313819</v>
      </c>
      <c r="I369" s="13">
        <f>205.89/0.702804</f>
        <v>292.95507709119471</v>
      </c>
      <c r="J369" s="12"/>
      <c r="K369" s="13">
        <f>261.93/0.702804</f>
        <v>372.69281335905885</v>
      </c>
    </row>
    <row r="370" spans="1:11" collapsed="1" x14ac:dyDescent="0.25">
      <c r="A370" s="36" t="s">
        <v>19</v>
      </c>
      <c r="B370" s="13">
        <f>285/0.702804</f>
        <v>405.51846603035841</v>
      </c>
      <c r="C370" s="13">
        <f>333/0.702804</f>
        <v>473.81631294073458</v>
      </c>
      <c r="D370" s="13">
        <f>229/0.702804</f>
        <v>325.83764463491957</v>
      </c>
      <c r="E370" s="13">
        <f>259/0.702804</f>
        <v>368.52379895390465</v>
      </c>
      <c r="F370" s="12"/>
      <c r="G370" s="13">
        <f>239/0.702804</f>
        <v>340.06636274124793</v>
      </c>
      <c r="H370" s="13">
        <f>247/0.702804</f>
        <v>351.4493372263106</v>
      </c>
      <c r="I370" s="13">
        <f>237/0.702804</f>
        <v>337.22061911998225</v>
      </c>
      <c r="J370" s="12"/>
      <c r="K370" s="13">
        <f>283/0.702804</f>
        <v>402.67272240909273</v>
      </c>
    </row>
    <row r="371" spans="1:11" hidden="1" outlineLevel="1" x14ac:dyDescent="0.25">
      <c r="A371" s="14">
        <v>2006</v>
      </c>
      <c r="B371" s="15">
        <f>350/0.702804</f>
        <v>498.00513372149277</v>
      </c>
      <c r="C371" s="15">
        <f>409/0.702804</f>
        <v>581.95457054883013</v>
      </c>
      <c r="D371" s="15">
        <f>274/0.702804</f>
        <v>389.86687611339721</v>
      </c>
      <c r="E371" s="15">
        <f>323/0.702804</f>
        <v>459.58759483440616</v>
      </c>
      <c r="F371" s="12"/>
      <c r="G371" s="15">
        <f>294/0.702804</f>
        <v>418.32431232605393</v>
      </c>
      <c r="H371" s="15">
        <f>301/0.702804</f>
        <v>428.28441500048376</v>
      </c>
      <c r="I371" s="16">
        <f>292/0.702804</f>
        <v>415.47856870478824</v>
      </c>
      <c r="J371" s="12"/>
      <c r="K371" s="16">
        <f>352/0.7028074</f>
        <v>500.84845435605831</v>
      </c>
    </row>
    <row r="372" spans="1:11" hidden="1" outlineLevel="1" x14ac:dyDescent="0.25">
      <c r="A372" s="14">
        <v>2007</v>
      </c>
      <c r="B372" s="15">
        <f>474/0.702804</f>
        <v>674.44123823996449</v>
      </c>
      <c r="C372" s="15">
        <f>552/0.702804</f>
        <v>785.42523946932579</v>
      </c>
      <c r="D372" s="15">
        <f>369/0.702804</f>
        <v>525.0396981235167</v>
      </c>
      <c r="E372" s="15">
        <f>453/0.702804</f>
        <v>644.56093021667493</v>
      </c>
      <c r="F372" s="12"/>
      <c r="G372" s="15">
        <f>414/0.702804</f>
        <v>589.06892960199434</v>
      </c>
      <c r="H372" s="15">
        <f>405/0.702804</f>
        <v>576.26308330629877</v>
      </c>
      <c r="I372" s="16">
        <f>391/0.702804</f>
        <v>556.3428779574391</v>
      </c>
      <c r="J372" s="12"/>
      <c r="K372" s="16">
        <f>471/0.702804</f>
        <v>670.17262280806597</v>
      </c>
    </row>
    <row r="373" spans="1:11" hidden="1" outlineLevel="1" x14ac:dyDescent="0.25">
      <c r="A373" s="14">
        <v>2008</v>
      </c>
      <c r="B373" s="15">
        <f>564/0.702804</f>
        <v>802.49970119691977</v>
      </c>
      <c r="C373" s="15">
        <f>659/0.702804</f>
        <v>937.67252320703926</v>
      </c>
      <c r="D373" s="15">
        <f>443/0.702804</f>
        <v>630.33221211034652</v>
      </c>
      <c r="E373" s="15">
        <f>518/0.702804</f>
        <v>737.04759790780929</v>
      </c>
      <c r="F373" s="12"/>
      <c r="G373" s="15">
        <f>489/0.702804</f>
        <v>695.784315399457</v>
      </c>
      <c r="H373" s="15">
        <f>478/0.702804</f>
        <v>680.13272548249586</v>
      </c>
      <c r="I373" s="16">
        <f>459/0.702804</f>
        <v>653.09816108047198</v>
      </c>
      <c r="J373" s="12"/>
      <c r="K373" s="16">
        <f>555/0.702804</f>
        <v>789.69385490122431</v>
      </c>
    </row>
    <row r="374" spans="1:11" hidden="1" outlineLevel="1" x14ac:dyDescent="0.25">
      <c r="A374" s="17">
        <v>2009</v>
      </c>
      <c r="B374" s="15">
        <f>504/0.702804</f>
        <v>717.12739255894962</v>
      </c>
      <c r="C374" s="15">
        <f>588/0.702804</f>
        <v>836.64862465210786</v>
      </c>
      <c r="D374" s="15">
        <f>381/0.702804</f>
        <v>542.11415985111068</v>
      </c>
      <c r="E374" s="15">
        <f>425/0.702804</f>
        <v>604.72051951895548</v>
      </c>
      <c r="F374" s="12"/>
      <c r="G374" s="15">
        <f>428/0.702804</f>
        <v>608.98913495085401</v>
      </c>
      <c r="H374" s="15">
        <f>436/0.702804</f>
        <v>620.37210943591674</v>
      </c>
      <c r="I374" s="16">
        <f>397/0.702804</f>
        <v>564.88010882123604</v>
      </c>
      <c r="J374" s="12"/>
      <c r="K374" s="16">
        <f>501/0.702804</f>
        <v>712.8587771270511</v>
      </c>
    </row>
    <row r="375" spans="1:11" collapsed="1" x14ac:dyDescent="0.25">
      <c r="A375" s="14">
        <v>2010</v>
      </c>
      <c r="B375" s="15">
        <f>470/0.702804</f>
        <v>668.74975099743313</v>
      </c>
      <c r="C375" s="15">
        <f>550/0.702804</f>
        <v>782.57949584806011</v>
      </c>
      <c r="D375" s="15">
        <f>359/0.702804</f>
        <v>510.81098001718829</v>
      </c>
      <c r="E375" s="15">
        <f>392/0.702804</f>
        <v>557.76574976807194</v>
      </c>
      <c r="F375" s="12"/>
      <c r="G375" s="15">
        <f>378/0.702804</f>
        <v>537.84554441921216</v>
      </c>
      <c r="H375" s="15">
        <f>401/0.702804</f>
        <v>570.5715960637674</v>
      </c>
      <c r="I375" s="16">
        <f>362/0.702804</f>
        <v>515.07959544908681</v>
      </c>
      <c r="J375" s="12"/>
      <c r="K375" s="16">
        <f>447/0.702804</f>
        <v>636.02369935287788</v>
      </c>
    </row>
    <row r="376" spans="1:11" hidden="1" outlineLevel="1" x14ac:dyDescent="0.25">
      <c r="A376" s="14">
        <v>2011</v>
      </c>
      <c r="B376" s="15">
        <f>493/0.702804</f>
        <v>701.47580264198837</v>
      </c>
      <c r="C376" s="15">
        <f>582/0.702804</f>
        <v>828.11139378831081</v>
      </c>
      <c r="D376" s="15">
        <f>376/0.702804</f>
        <v>534.99980079794648</v>
      </c>
      <c r="E376" s="15">
        <f>408/0.702804</f>
        <v>580.53169873819729</v>
      </c>
      <c r="F376" s="12"/>
      <c r="G376" s="15">
        <f>393/0.702804</f>
        <v>559.18862157870478</v>
      </c>
      <c r="H376" s="15">
        <f>414/0.702804</f>
        <v>589.06892960199434</v>
      </c>
      <c r="I376" s="16">
        <f>374/0.702804</f>
        <v>532.15405717668079</v>
      </c>
      <c r="J376" s="12"/>
      <c r="K376" s="16">
        <f>468/0.702804</f>
        <v>665.90400737616744</v>
      </c>
    </row>
    <row r="377" spans="1:11" hidden="1" outlineLevel="1" x14ac:dyDescent="0.25">
      <c r="A377" s="14">
        <v>2012</v>
      </c>
      <c r="B377" s="15">
        <v>732</v>
      </c>
      <c r="C377" s="15">
        <f>604/0.702804</f>
        <v>859.41457362223321</v>
      </c>
      <c r="D377" s="15">
        <f>395/0.702804</f>
        <v>562.03436519997047</v>
      </c>
      <c r="E377" s="15">
        <v>601</v>
      </c>
      <c r="F377" s="18"/>
      <c r="G377" s="15">
        <f>407/0.702804</f>
        <v>579.10882692756445</v>
      </c>
      <c r="H377" s="15">
        <v>611</v>
      </c>
      <c r="I377" s="16">
        <f>386/0.702804</f>
        <v>549.22851890427489</v>
      </c>
      <c r="J377" s="18"/>
      <c r="K377" s="16">
        <f>498/0.702804</f>
        <v>708.59016169515257</v>
      </c>
    </row>
    <row r="378" spans="1:11" hidden="1" outlineLevel="1" x14ac:dyDescent="0.25">
      <c r="A378" s="14">
        <v>2013</v>
      </c>
      <c r="B378" s="18">
        <v>766</v>
      </c>
      <c r="C378" s="18">
        <v>894</v>
      </c>
      <c r="D378" s="18">
        <v>579</v>
      </c>
      <c r="E378" s="18">
        <v>612</v>
      </c>
      <c r="F378" s="18">
        <v>545</v>
      </c>
      <c r="G378" s="15">
        <v>637</v>
      </c>
      <c r="H378" s="18">
        <v>662</v>
      </c>
      <c r="I378" s="16">
        <v>569</v>
      </c>
      <c r="J378" s="18">
        <v>642</v>
      </c>
      <c r="K378" s="16">
        <v>748</v>
      </c>
    </row>
    <row r="379" spans="1:11" hidden="1" outlineLevel="1" x14ac:dyDescent="0.25">
      <c r="A379" s="14">
        <v>2014</v>
      </c>
      <c r="B379" s="18">
        <v>812</v>
      </c>
      <c r="C379" s="18">
        <v>950</v>
      </c>
      <c r="D379" s="18">
        <v>598</v>
      </c>
      <c r="E379" s="18">
        <v>639</v>
      </c>
      <c r="F379" s="18">
        <v>577</v>
      </c>
      <c r="G379" s="18">
        <v>711</v>
      </c>
      <c r="H379" s="18">
        <v>684</v>
      </c>
      <c r="I379" s="16">
        <v>595</v>
      </c>
      <c r="J379" s="18">
        <v>672</v>
      </c>
      <c r="K379" s="16">
        <v>814</v>
      </c>
    </row>
    <row r="380" spans="1:11" collapsed="1" x14ac:dyDescent="0.25">
      <c r="A380" s="14">
        <v>2015</v>
      </c>
      <c r="B380" s="18">
        <v>855</v>
      </c>
      <c r="C380" s="18">
        <v>996</v>
      </c>
      <c r="D380" s="18">
        <v>630</v>
      </c>
      <c r="E380" s="18">
        <v>676</v>
      </c>
      <c r="F380" s="18">
        <v>730</v>
      </c>
      <c r="G380" s="18">
        <v>778</v>
      </c>
      <c r="H380" s="18">
        <v>725</v>
      </c>
      <c r="I380" s="18">
        <v>638</v>
      </c>
      <c r="J380" s="18">
        <v>686</v>
      </c>
      <c r="K380" s="18">
        <v>831</v>
      </c>
    </row>
    <row r="381" spans="1:11" x14ac:dyDescent="0.25">
      <c r="A381" s="14">
        <v>2016</v>
      </c>
      <c r="B381" s="18">
        <v>887</v>
      </c>
      <c r="C381" s="18">
        <v>1029</v>
      </c>
      <c r="D381" s="18">
        <v>647</v>
      </c>
      <c r="E381" s="18">
        <v>726</v>
      </c>
      <c r="F381" s="18">
        <v>773</v>
      </c>
      <c r="G381" s="18">
        <v>809</v>
      </c>
      <c r="H381" s="18">
        <v>760</v>
      </c>
      <c r="I381" s="18">
        <v>682</v>
      </c>
      <c r="J381" s="18">
        <v>730</v>
      </c>
      <c r="K381" s="18">
        <v>855</v>
      </c>
    </row>
    <row r="382" spans="1:11" x14ac:dyDescent="0.25">
      <c r="A382" s="14">
        <v>2017</v>
      </c>
      <c r="B382" s="18">
        <v>951</v>
      </c>
      <c r="C382" s="18">
        <v>1102</v>
      </c>
      <c r="D382" s="18">
        <v>691</v>
      </c>
      <c r="E382" s="18">
        <v>821</v>
      </c>
      <c r="F382" s="18">
        <v>844</v>
      </c>
      <c r="G382" s="18">
        <v>856</v>
      </c>
      <c r="H382" s="18">
        <v>823</v>
      </c>
      <c r="I382" s="18">
        <v>738</v>
      </c>
      <c r="J382" s="18">
        <v>798</v>
      </c>
      <c r="K382" s="18">
        <v>907</v>
      </c>
    </row>
    <row r="383" spans="1:11" x14ac:dyDescent="0.25">
      <c r="A383" s="14">
        <v>2018</v>
      </c>
      <c r="B383" s="18">
        <v>1032</v>
      </c>
      <c r="C383" s="18">
        <v>1204</v>
      </c>
      <c r="D383" s="18">
        <v>771</v>
      </c>
      <c r="E383" s="18">
        <v>914</v>
      </c>
      <c r="F383" s="18">
        <v>890</v>
      </c>
      <c r="G383" s="18">
        <v>933</v>
      </c>
      <c r="H383" s="18">
        <v>873</v>
      </c>
      <c r="I383" s="18">
        <v>794</v>
      </c>
      <c r="J383" s="18">
        <v>862</v>
      </c>
      <c r="K383" s="18">
        <v>983</v>
      </c>
    </row>
    <row r="384" spans="1:11" x14ac:dyDescent="0.25">
      <c r="A384" s="14">
        <v>2019</v>
      </c>
      <c r="B384" s="18">
        <v>1103</v>
      </c>
      <c r="C384" s="15">
        <v>1287.5</v>
      </c>
      <c r="D384" s="15">
        <v>838.5</v>
      </c>
      <c r="E384" s="15">
        <v>979.5</v>
      </c>
      <c r="F384" s="15">
        <v>951.5</v>
      </c>
      <c r="G384" s="15">
        <v>982.75</v>
      </c>
      <c r="H384" s="15">
        <v>939.25</v>
      </c>
      <c r="I384" s="15">
        <v>865.75</v>
      </c>
      <c r="J384" s="15">
        <v>936.25</v>
      </c>
      <c r="K384" s="15">
        <v>1048.25</v>
      </c>
    </row>
    <row r="385" spans="1:11" x14ac:dyDescent="0.25">
      <c r="A385" s="14">
        <v>2020</v>
      </c>
      <c r="B385" s="29">
        <v>1156</v>
      </c>
      <c r="C385" s="29">
        <v>1351</v>
      </c>
      <c r="D385" s="29">
        <v>914</v>
      </c>
      <c r="E385" s="30">
        <v>1071</v>
      </c>
      <c r="F385" s="29">
        <v>979</v>
      </c>
      <c r="G385" s="29">
        <v>1037</v>
      </c>
      <c r="H385" s="29">
        <v>1038</v>
      </c>
      <c r="I385" s="29">
        <v>882</v>
      </c>
      <c r="J385" s="29">
        <v>1032</v>
      </c>
      <c r="K385" s="29">
        <v>1076</v>
      </c>
    </row>
    <row r="386" spans="1:11" x14ac:dyDescent="0.25">
      <c r="A386" s="14">
        <v>2021</v>
      </c>
      <c r="B386" s="18">
        <v>1293</v>
      </c>
      <c r="C386" s="18">
        <v>1510</v>
      </c>
      <c r="D386" s="18">
        <v>1066</v>
      </c>
      <c r="E386" s="18">
        <v>1218</v>
      </c>
      <c r="F386" s="18"/>
      <c r="G386" s="18">
        <v>1177</v>
      </c>
      <c r="H386" s="18">
        <v>1152</v>
      </c>
      <c r="I386" s="18">
        <v>1012</v>
      </c>
      <c r="J386" s="18"/>
      <c r="K386" s="18">
        <v>1252</v>
      </c>
    </row>
    <row r="387" spans="1:11" ht="14.4" customHeight="1" x14ac:dyDescent="0.25">
      <c r="A387" s="22">
        <v>2022</v>
      </c>
      <c r="B387" s="39">
        <v>1373</v>
      </c>
      <c r="C387" s="39">
        <v>1594</v>
      </c>
      <c r="D387" s="39">
        <v>1130</v>
      </c>
      <c r="E387" s="39">
        <v>1250</v>
      </c>
      <c r="F387" s="39"/>
      <c r="G387" s="39">
        <v>1207</v>
      </c>
      <c r="H387" s="39">
        <v>1221</v>
      </c>
      <c r="I387" s="39">
        <v>1083</v>
      </c>
      <c r="J387" s="39"/>
      <c r="K387" s="39">
        <v>1319</v>
      </c>
    </row>
    <row r="388" spans="1:11" x14ac:dyDescent="0.25">
      <c r="A388" s="22">
        <v>2023</v>
      </c>
      <c r="B388" s="39">
        <v>1553</v>
      </c>
      <c r="C388" s="39">
        <v>1782</v>
      </c>
      <c r="D388" s="39">
        <v>1264</v>
      </c>
      <c r="E388" s="39">
        <v>1361</v>
      </c>
      <c r="F388" s="39"/>
      <c r="G388" s="39">
        <v>1346</v>
      </c>
      <c r="H388" s="39">
        <v>1366</v>
      </c>
      <c r="I388" s="39">
        <v>1236</v>
      </c>
      <c r="J388" s="39"/>
      <c r="K388" s="39">
        <v>1428</v>
      </c>
    </row>
    <row r="389" spans="1:11" x14ac:dyDescent="0.25">
      <c r="A389" s="22">
        <v>2024</v>
      </c>
      <c r="B389" s="46">
        <v>1742</v>
      </c>
      <c r="C389" s="46">
        <v>1977</v>
      </c>
      <c r="D389" s="46">
        <v>1395</v>
      </c>
      <c r="E389" s="46">
        <v>1547</v>
      </c>
      <c r="F389" s="46"/>
      <c r="G389" s="46">
        <v>1594</v>
      </c>
      <c r="H389" s="46">
        <v>1541</v>
      </c>
      <c r="I389" s="46">
        <v>1386</v>
      </c>
      <c r="J389" s="46"/>
      <c r="K389" s="46">
        <v>1569</v>
      </c>
    </row>
    <row r="390" spans="1:11" x14ac:dyDescent="0.25">
      <c r="C390" s="28"/>
    </row>
    <row r="391" spans="1:11" x14ac:dyDescent="0.25">
      <c r="C391" s="28"/>
    </row>
    <row r="392" spans="1:11" x14ac:dyDescent="0.25">
      <c r="C392" s="28"/>
    </row>
    <row r="393" spans="1:11" x14ac:dyDescent="0.25">
      <c r="C393" s="28"/>
    </row>
    <row r="394" spans="1:11" x14ac:dyDescent="0.25">
      <c r="C394" s="28"/>
    </row>
    <row r="395" spans="1:11" x14ac:dyDescent="0.25">
      <c r="C395" s="28"/>
    </row>
    <row r="396" spans="1:11" x14ac:dyDescent="0.25">
      <c r="C396" s="28"/>
    </row>
    <row r="397" spans="1:11" x14ac:dyDescent="0.25">
      <c r="C397" s="28"/>
    </row>
    <row r="398" spans="1:11" x14ac:dyDescent="0.25">
      <c r="C398" s="28"/>
    </row>
    <row r="399" spans="1:11" x14ac:dyDescent="0.25">
      <c r="C399" s="28"/>
    </row>
    <row r="404" spans="1:153" s="2" customFormat="1" ht="5.25" customHeight="1" x14ac:dyDescent="0.25">
      <c r="A404" s="32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7"/>
      <c r="CF404" s="27"/>
      <c r="CG404" s="27"/>
      <c r="CH404" s="27"/>
      <c r="CI404" s="27"/>
      <c r="CJ404" s="27"/>
      <c r="CK404" s="27"/>
      <c r="CL404" s="27"/>
      <c r="CM404" s="27"/>
      <c r="CN404" s="27"/>
      <c r="CO404" s="27"/>
      <c r="CP404" s="27"/>
      <c r="CQ404" s="27"/>
      <c r="CR404" s="27"/>
      <c r="CS404" s="27"/>
      <c r="CT404" s="27"/>
      <c r="CU404" s="27"/>
      <c r="CV404" s="27"/>
      <c r="CW404" s="27"/>
      <c r="CX404" s="27"/>
      <c r="CY404" s="27"/>
      <c r="CZ404" s="27"/>
      <c r="DA404" s="27"/>
      <c r="DB404" s="27"/>
      <c r="DC404" s="27"/>
      <c r="DD404" s="27"/>
      <c r="DE404" s="27"/>
      <c r="DF404" s="27"/>
      <c r="DG404" s="27"/>
      <c r="DH404" s="27"/>
      <c r="DI404" s="27"/>
      <c r="DJ404" s="27"/>
      <c r="DK404" s="27"/>
      <c r="DL404" s="27"/>
      <c r="DM404" s="27"/>
      <c r="DN404" s="27"/>
      <c r="DO404" s="27"/>
      <c r="DP404" s="27"/>
      <c r="DQ404" s="27"/>
      <c r="DR404" s="27"/>
      <c r="DS404" s="27"/>
      <c r="DT404" s="27"/>
      <c r="DU404" s="27"/>
      <c r="DV404" s="27"/>
      <c r="DW404" s="27"/>
      <c r="DX404" s="27"/>
      <c r="DY404" s="27"/>
      <c r="DZ404" s="27"/>
      <c r="EA404" s="27"/>
      <c r="EB404" s="27"/>
      <c r="EC404" s="27"/>
      <c r="ED404" s="27"/>
      <c r="EE404" s="27"/>
      <c r="EF404" s="27"/>
      <c r="EG404" s="27"/>
      <c r="EH404" s="27"/>
      <c r="EI404" s="27"/>
      <c r="EJ404" s="27"/>
      <c r="EK404" s="27"/>
      <c r="EL404" s="27"/>
      <c r="EM404" s="27"/>
      <c r="EN404" s="27"/>
      <c r="EO404" s="27"/>
      <c r="EP404" s="27"/>
      <c r="EQ404" s="27"/>
      <c r="ER404" s="27"/>
      <c r="ES404" s="27"/>
      <c r="ET404" s="27"/>
      <c r="EU404" s="27"/>
      <c r="EV404" s="27"/>
      <c r="EW404" s="27"/>
    </row>
    <row r="408" spans="1:153" x14ac:dyDescent="0.25">
      <c r="A408" s="14"/>
      <c r="B408" s="12" t="s">
        <v>0</v>
      </c>
      <c r="C408" s="12" t="s">
        <v>1</v>
      </c>
      <c r="D408" s="12" t="s">
        <v>2</v>
      </c>
      <c r="E408" s="12" t="s">
        <v>3</v>
      </c>
      <c r="F408" s="12" t="s">
        <v>27</v>
      </c>
      <c r="G408" s="12" t="s">
        <v>4</v>
      </c>
      <c r="H408" s="12" t="s">
        <v>5</v>
      </c>
      <c r="I408" s="12" t="s">
        <v>6</v>
      </c>
      <c r="J408" s="12" t="s">
        <v>28</v>
      </c>
      <c r="K408" s="12" t="s">
        <v>7</v>
      </c>
      <c r="L408" s="12"/>
    </row>
    <row r="409" spans="1:153" x14ac:dyDescent="0.25">
      <c r="A409" s="14">
        <v>2007</v>
      </c>
      <c r="B409" s="12">
        <v>647</v>
      </c>
      <c r="C409" s="12">
        <v>727</v>
      </c>
      <c r="D409" s="12">
        <v>374</v>
      </c>
      <c r="E409" s="12">
        <v>477</v>
      </c>
      <c r="F409" s="12"/>
      <c r="G409" s="12">
        <v>443</v>
      </c>
      <c r="H409" s="12">
        <v>593</v>
      </c>
      <c r="I409" s="12">
        <v>406</v>
      </c>
      <c r="J409" s="12"/>
      <c r="K409" s="12">
        <v>683</v>
      </c>
      <c r="L409" s="12"/>
    </row>
    <row r="410" spans="1:153" x14ac:dyDescent="0.25">
      <c r="A410" s="14">
        <v>2008</v>
      </c>
      <c r="B410" s="12">
        <v>768</v>
      </c>
      <c r="C410" s="12">
        <v>858</v>
      </c>
      <c r="D410" s="12">
        <v>475</v>
      </c>
      <c r="E410" s="12">
        <v>573</v>
      </c>
      <c r="F410" s="12"/>
      <c r="G410" s="12">
        <v>602</v>
      </c>
      <c r="H410" s="12">
        <v>693</v>
      </c>
      <c r="I410" s="12">
        <v>485</v>
      </c>
      <c r="J410" s="12"/>
      <c r="K410" s="12">
        <v>818</v>
      </c>
      <c r="L410" s="12"/>
    </row>
    <row r="411" spans="1:153" x14ac:dyDescent="0.25">
      <c r="A411" s="14">
        <v>2009</v>
      </c>
      <c r="B411" s="12">
        <v>721</v>
      </c>
      <c r="C411" s="12">
        <v>814</v>
      </c>
      <c r="D411" s="12">
        <v>434</v>
      </c>
      <c r="E411" s="12">
        <v>534</v>
      </c>
      <c r="F411" s="12"/>
      <c r="G411" s="12">
        <v>535</v>
      </c>
      <c r="H411" s="12">
        <v>515</v>
      </c>
      <c r="I411" s="12">
        <v>468</v>
      </c>
      <c r="J411" s="12"/>
      <c r="K411" s="12">
        <v>804</v>
      </c>
      <c r="L411" s="12"/>
    </row>
    <row r="412" spans="1:153" x14ac:dyDescent="0.25">
      <c r="A412" s="14">
        <v>2010</v>
      </c>
      <c r="B412" s="12">
        <v>711</v>
      </c>
      <c r="C412" s="12">
        <v>795</v>
      </c>
      <c r="D412" s="12">
        <v>448</v>
      </c>
      <c r="E412" s="12">
        <v>515</v>
      </c>
      <c r="F412" s="12">
        <v>524</v>
      </c>
      <c r="G412" s="12">
        <v>561</v>
      </c>
      <c r="H412" s="12">
        <v>646</v>
      </c>
      <c r="I412" s="12">
        <v>497</v>
      </c>
      <c r="J412" s="12">
        <v>615</v>
      </c>
      <c r="K412" s="12">
        <v>827</v>
      </c>
      <c r="L412" s="12"/>
    </row>
    <row r="413" spans="1:153" hidden="1" outlineLevel="1" x14ac:dyDescent="0.25">
      <c r="A413" s="14">
        <v>2011</v>
      </c>
      <c r="B413" s="12">
        <v>738</v>
      </c>
      <c r="C413" s="12">
        <v>821</v>
      </c>
      <c r="D413" s="12">
        <v>478</v>
      </c>
      <c r="E413" s="12">
        <v>562</v>
      </c>
      <c r="F413" s="12">
        <v>571</v>
      </c>
      <c r="G413" s="12">
        <v>573</v>
      </c>
      <c r="H413" s="12">
        <v>660</v>
      </c>
      <c r="I413" s="12">
        <v>525</v>
      </c>
      <c r="J413" s="12">
        <v>679</v>
      </c>
      <c r="K413" s="12">
        <v>872</v>
      </c>
      <c r="L413" s="12"/>
    </row>
    <row r="414" spans="1:153" hidden="1" outlineLevel="1" x14ac:dyDescent="0.25">
      <c r="A414" s="14">
        <v>2012</v>
      </c>
      <c r="B414" s="12">
        <v>768</v>
      </c>
      <c r="C414" s="12">
        <v>759</v>
      </c>
      <c r="D414" s="12">
        <v>482</v>
      </c>
      <c r="E414" s="12">
        <v>589</v>
      </c>
      <c r="F414" s="12">
        <v>617</v>
      </c>
      <c r="G414" s="12">
        <v>574</v>
      </c>
      <c r="H414" s="12">
        <v>738</v>
      </c>
      <c r="I414" s="12">
        <v>458</v>
      </c>
      <c r="J414" s="12">
        <v>745</v>
      </c>
      <c r="K414" s="12">
        <v>882</v>
      </c>
      <c r="L414" s="12"/>
    </row>
    <row r="415" spans="1:153" hidden="1" outlineLevel="1" x14ac:dyDescent="0.25">
      <c r="A415" s="14">
        <v>2013</v>
      </c>
      <c r="B415" s="12">
        <v>803</v>
      </c>
      <c r="C415" s="12">
        <v>897</v>
      </c>
      <c r="D415" s="12">
        <v>500</v>
      </c>
      <c r="E415" s="12">
        <v>627</v>
      </c>
      <c r="F415" s="12">
        <v>702</v>
      </c>
      <c r="G415" s="12">
        <v>616</v>
      </c>
      <c r="H415" s="12">
        <v>693</v>
      </c>
      <c r="I415" s="12">
        <v>500</v>
      </c>
      <c r="J415" s="12">
        <v>764</v>
      </c>
      <c r="K415" s="12">
        <v>931</v>
      </c>
      <c r="L415" s="12"/>
    </row>
    <row r="416" spans="1:153" hidden="1" outlineLevel="1" x14ac:dyDescent="0.25">
      <c r="A416" s="14">
        <v>2014</v>
      </c>
      <c r="B416" s="12">
        <v>859</v>
      </c>
      <c r="C416" s="12">
        <v>962</v>
      </c>
      <c r="D416" s="12">
        <v>536</v>
      </c>
      <c r="E416" s="12">
        <v>694</v>
      </c>
      <c r="F416" s="12">
        <v>689</v>
      </c>
      <c r="G416" s="12">
        <v>642</v>
      </c>
      <c r="H416" s="12">
        <v>783</v>
      </c>
      <c r="I416" s="12">
        <v>547</v>
      </c>
      <c r="J416" s="12">
        <v>830</v>
      </c>
      <c r="K416" s="12">
        <v>927</v>
      </c>
      <c r="L416" s="12"/>
    </row>
    <row r="417" spans="1:12" collapsed="1" x14ac:dyDescent="0.25">
      <c r="A417" s="14">
        <v>2015</v>
      </c>
      <c r="B417" s="12">
        <v>916</v>
      </c>
      <c r="C417" s="12">
        <v>1020</v>
      </c>
      <c r="D417" s="12">
        <v>562</v>
      </c>
      <c r="E417" s="12">
        <v>763</v>
      </c>
      <c r="F417" s="12">
        <v>663</v>
      </c>
      <c r="G417" s="12">
        <v>681</v>
      </c>
      <c r="H417" s="12">
        <v>890</v>
      </c>
      <c r="I417" s="12">
        <v>639</v>
      </c>
      <c r="J417" s="12">
        <v>867</v>
      </c>
      <c r="K417" s="12">
        <v>973</v>
      </c>
      <c r="L417" s="12"/>
    </row>
    <row r="418" spans="1:12" x14ac:dyDescent="0.25">
      <c r="A418" s="14">
        <v>2016</v>
      </c>
      <c r="B418" s="12">
        <v>973</v>
      </c>
      <c r="C418" s="12">
        <v>1071</v>
      </c>
      <c r="D418" s="12">
        <v>608</v>
      </c>
      <c r="E418" s="12">
        <v>840</v>
      </c>
      <c r="F418" s="12">
        <v>717</v>
      </c>
      <c r="G418" s="12">
        <v>734</v>
      </c>
      <c r="H418" s="12">
        <v>946</v>
      </c>
      <c r="I418" s="12">
        <v>650</v>
      </c>
      <c r="J418" s="12">
        <v>939</v>
      </c>
      <c r="K418" s="12">
        <v>970</v>
      </c>
      <c r="L418" s="12"/>
    </row>
    <row r="419" spans="1:12" x14ac:dyDescent="0.25">
      <c r="A419" s="14">
        <v>2017</v>
      </c>
      <c r="B419" s="12">
        <v>1051</v>
      </c>
      <c r="C419" s="12">
        <v>1154</v>
      </c>
      <c r="D419" s="12">
        <v>656</v>
      </c>
      <c r="E419" s="12">
        <v>967</v>
      </c>
      <c r="F419" s="12">
        <v>799</v>
      </c>
      <c r="G419" s="12">
        <v>782</v>
      </c>
      <c r="H419" s="12">
        <v>977</v>
      </c>
      <c r="I419" s="12">
        <v>707</v>
      </c>
      <c r="J419" s="12">
        <v>1016</v>
      </c>
      <c r="K419" s="12">
        <v>1005</v>
      </c>
      <c r="L419" s="12"/>
    </row>
    <row r="420" spans="1:12" x14ac:dyDescent="0.25">
      <c r="A420" s="14">
        <v>2018</v>
      </c>
      <c r="B420" s="24">
        <v>1128</v>
      </c>
      <c r="C420" s="24">
        <v>1221</v>
      </c>
      <c r="D420" s="24">
        <v>720</v>
      </c>
      <c r="E420" s="24">
        <v>1046</v>
      </c>
      <c r="F420" s="24">
        <v>821</v>
      </c>
      <c r="G420" s="24">
        <v>856</v>
      </c>
      <c r="H420" s="24">
        <v>1073</v>
      </c>
      <c r="I420" s="24">
        <v>778</v>
      </c>
      <c r="J420" s="24">
        <v>1112</v>
      </c>
      <c r="K420" s="24">
        <v>1077</v>
      </c>
      <c r="L420" s="12"/>
    </row>
    <row r="421" spans="1:12" x14ac:dyDescent="0.25">
      <c r="A421" s="22">
        <v>2019</v>
      </c>
      <c r="B421" s="25">
        <v>1207</v>
      </c>
      <c r="C421" s="25">
        <v>1300</v>
      </c>
      <c r="D421" s="25">
        <v>754</v>
      </c>
      <c r="E421" s="25">
        <v>1125</v>
      </c>
      <c r="F421" s="25">
        <v>883</v>
      </c>
      <c r="G421" s="25">
        <v>943</v>
      </c>
      <c r="H421" s="25">
        <v>1158</v>
      </c>
      <c r="I421" s="25">
        <v>773</v>
      </c>
      <c r="J421" s="25">
        <v>1184</v>
      </c>
      <c r="K421" s="25">
        <v>1157</v>
      </c>
      <c r="L421" s="23"/>
    </row>
    <row r="422" spans="1:12" x14ac:dyDescent="0.25">
      <c r="A422" s="14">
        <v>2020</v>
      </c>
      <c r="B422" s="21">
        <v>1271</v>
      </c>
      <c r="C422" s="21">
        <v>1343</v>
      </c>
      <c r="D422" s="21">
        <v>792</v>
      </c>
      <c r="E422" s="21">
        <v>1117</v>
      </c>
      <c r="F422" s="21">
        <v>931</v>
      </c>
      <c r="G422" s="21">
        <v>993</v>
      </c>
      <c r="H422" s="21">
        <v>1245</v>
      </c>
      <c r="I422" s="21">
        <v>860</v>
      </c>
      <c r="J422" s="21">
        <v>1258</v>
      </c>
      <c r="K422" s="21">
        <v>1125</v>
      </c>
      <c r="L422" s="12"/>
    </row>
    <row r="423" spans="1:12" x14ac:dyDescent="0.25">
      <c r="A423" s="14">
        <v>2021</v>
      </c>
      <c r="B423" s="12">
        <v>1399</v>
      </c>
      <c r="C423" s="12">
        <v>1457</v>
      </c>
      <c r="D423" s="12">
        <v>955</v>
      </c>
      <c r="E423" s="12">
        <v>1433</v>
      </c>
      <c r="F423" s="12"/>
      <c r="G423" s="12">
        <v>1024</v>
      </c>
      <c r="H423" s="12">
        <v>1389</v>
      </c>
      <c r="I423" s="12">
        <v>979</v>
      </c>
      <c r="J423" s="12"/>
      <c r="K423" s="12">
        <v>1187</v>
      </c>
      <c r="L423" s="12"/>
    </row>
    <row r="424" spans="1:12" x14ac:dyDescent="0.25">
      <c r="A424" s="14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</row>
    <row r="425" spans="1:12" x14ac:dyDescent="0.25">
      <c r="A425" s="14"/>
      <c r="B425" s="24"/>
      <c r="C425" s="12"/>
      <c r="D425" s="12"/>
      <c r="E425" s="12"/>
      <c r="F425" s="12"/>
      <c r="G425" s="12"/>
      <c r="H425" s="12"/>
      <c r="I425" s="12"/>
      <c r="J425" s="12"/>
      <c r="K425" s="12"/>
      <c r="L425" s="12"/>
    </row>
    <row r="426" spans="1:12" x14ac:dyDescent="0.25">
      <c r="B426" s="28"/>
    </row>
    <row r="427" spans="1:12" x14ac:dyDescent="0.25">
      <c r="B427" s="28"/>
    </row>
    <row r="428" spans="1:12" x14ac:dyDescent="0.25">
      <c r="B428" s="28"/>
    </row>
    <row r="429" spans="1:12" x14ac:dyDescent="0.25">
      <c r="B429" s="28"/>
    </row>
    <row r="430" spans="1:12" x14ac:dyDescent="0.25">
      <c r="B430" s="28"/>
    </row>
    <row r="431" spans="1:12" x14ac:dyDescent="0.25">
      <c r="B431" s="28"/>
    </row>
    <row r="432" spans="1:12" x14ac:dyDescent="0.25">
      <c r="B432" s="28"/>
    </row>
    <row r="433" spans="1:153" x14ac:dyDescent="0.25">
      <c r="B433" s="28"/>
    </row>
    <row r="434" spans="1:153" x14ac:dyDescent="0.25">
      <c r="B434" s="28"/>
    </row>
    <row r="435" spans="1:153" x14ac:dyDescent="0.25">
      <c r="B435" s="28"/>
    </row>
    <row r="436" spans="1:153" x14ac:dyDescent="0.25">
      <c r="B436" s="27"/>
    </row>
    <row r="441" spans="1:153" s="2" customFormat="1" ht="5.25" customHeight="1" x14ac:dyDescent="0.25">
      <c r="A441" s="32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  <c r="BR441" s="27"/>
      <c r="BS441" s="27"/>
      <c r="BT441" s="27"/>
      <c r="BU441" s="27"/>
      <c r="BV441" s="27"/>
      <c r="BW441" s="27"/>
      <c r="BX441" s="27"/>
      <c r="BY441" s="27"/>
      <c r="BZ441" s="27"/>
      <c r="CA441" s="27"/>
      <c r="CB441" s="27"/>
      <c r="CC441" s="27"/>
      <c r="CD441" s="27"/>
      <c r="CE441" s="27"/>
      <c r="CF441" s="27"/>
      <c r="CG441" s="27"/>
      <c r="CH441" s="27"/>
      <c r="CI441" s="27"/>
      <c r="CJ441" s="27"/>
      <c r="CK441" s="27"/>
      <c r="CL441" s="27"/>
      <c r="CM441" s="27"/>
      <c r="CN441" s="27"/>
      <c r="CO441" s="27"/>
      <c r="CP441" s="27"/>
      <c r="CQ441" s="27"/>
      <c r="CR441" s="27"/>
      <c r="CS441" s="27"/>
      <c r="CT441" s="27"/>
      <c r="CU441" s="27"/>
      <c r="CV441" s="27"/>
      <c r="CW441" s="27"/>
      <c r="CX441" s="27"/>
      <c r="CY441" s="27"/>
      <c r="CZ441" s="27"/>
      <c r="DA441" s="27"/>
      <c r="DB441" s="27"/>
      <c r="DC441" s="27"/>
      <c r="DD441" s="27"/>
      <c r="DE441" s="27"/>
      <c r="DF441" s="27"/>
      <c r="DG441" s="27"/>
      <c r="DH441" s="27"/>
      <c r="DI441" s="27"/>
      <c r="DJ441" s="27"/>
      <c r="DK441" s="27"/>
      <c r="DL441" s="27"/>
      <c r="DM441" s="27"/>
      <c r="DN441" s="27"/>
      <c r="DO441" s="27"/>
      <c r="DP441" s="27"/>
      <c r="DQ441" s="27"/>
      <c r="DR441" s="27"/>
      <c r="DS441" s="27"/>
      <c r="DT441" s="27"/>
      <c r="DU441" s="27"/>
      <c r="DV441" s="27"/>
      <c r="DW441" s="27"/>
      <c r="DX441" s="27"/>
      <c r="DY441" s="27"/>
      <c r="DZ441" s="27"/>
      <c r="EA441" s="27"/>
      <c r="EB441" s="27"/>
      <c r="EC441" s="27"/>
      <c r="ED441" s="27"/>
      <c r="EE441" s="27"/>
      <c r="EF441" s="27"/>
      <c r="EG441" s="27"/>
      <c r="EH441" s="27"/>
      <c r="EI441" s="27"/>
      <c r="EJ441" s="27"/>
      <c r="EK441" s="27"/>
      <c r="EL441" s="27"/>
      <c r="EM441" s="27"/>
      <c r="EN441" s="27"/>
      <c r="EO441" s="27"/>
      <c r="EP441" s="27"/>
      <c r="EQ441" s="27"/>
      <c r="ER441" s="27"/>
      <c r="ES441" s="27"/>
      <c r="ET441" s="27"/>
      <c r="EU441" s="27"/>
      <c r="EV441" s="27"/>
      <c r="EW441" s="27"/>
    </row>
  </sheetData>
  <phoneticPr fontId="1" type="noConversion"/>
  <printOptions horizontalCentered="1" verticalCentered="1"/>
  <pageMargins left="0.74803149606299213" right="3.937007874015748E-2" top="0.6692913385826772" bottom="0.98425196850393704" header="0.51181102362204722" footer="0.51181102362204722"/>
  <pageSetup paperSize="9" scale="80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ienemumi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Sintija Biša</cp:lastModifiedBy>
  <cp:lastPrinted>2005-05-23T10:45:02Z</cp:lastPrinted>
  <dcterms:created xsi:type="dcterms:W3CDTF">2005-05-23T10:39:36Z</dcterms:created>
  <dcterms:modified xsi:type="dcterms:W3CDTF">2025-03-20T13:53:28Z</dcterms:modified>
</cp:coreProperties>
</file>